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02_PROJEKTY A STUDIE\2024\1_ČR\Praha 20 - DH Ratibořická\"/>
    </mc:Choice>
  </mc:AlternateContent>
  <xr:revisionPtr revIDLastSave="0" documentId="13_ncr:1_{FAE162FD-30AC-4DEF-B20F-A5A8561D02D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01 - Stavební část" sheetId="2" r:id="rId2"/>
    <sheet name="02 - VRN" sheetId="3" r:id="rId3"/>
    <sheet name="Pokyny pro vyplnění" sheetId="4" r:id="rId4"/>
  </sheets>
  <definedNames>
    <definedName name="_xlnm._FilterDatabase" localSheetId="1" hidden="1">'01 - Stavební část'!$C$85:$K$328</definedName>
    <definedName name="_xlnm._FilterDatabase" localSheetId="2" hidden="1">'02 - VRN'!$C$80:$K$90</definedName>
    <definedName name="_xlnm.Print_Titles" localSheetId="1">'01 - Stavební část'!$85:$85</definedName>
    <definedName name="_xlnm.Print_Titles" localSheetId="2">'02 - VRN'!$80:$80</definedName>
    <definedName name="_xlnm.Print_Titles" localSheetId="0">'Rekapitulace stavby'!$52:$52</definedName>
    <definedName name="_xlnm.Print_Area" localSheetId="1">'01 - Stavební část'!$C$4:$J$39,'01 - Stavební část'!$C$45:$J$67,'01 - Stavební část'!$C$73:$K$328</definedName>
    <definedName name="_xlnm.Print_Area" localSheetId="2">'02 - VRN'!$C$4:$J$39,'02 - VRN'!$C$45:$J$62,'02 - VRN'!$C$68:$K$90</definedName>
    <definedName name="_xlnm.Print_Area" localSheetId="3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" i="2" l="1"/>
  <c r="H173" i="2"/>
  <c r="H121" i="2"/>
  <c r="H119" i="2"/>
  <c r="H117" i="2"/>
  <c r="H115" i="2"/>
  <c r="H113" i="2"/>
  <c r="H111" i="2"/>
  <c r="H109" i="2"/>
  <c r="H107" i="2"/>
  <c r="H105" i="2"/>
  <c r="H103" i="2"/>
  <c r="H101" i="2"/>
  <c r="H126" i="2"/>
  <c r="H97" i="2"/>
  <c r="H128" i="2"/>
  <c r="H130" i="2"/>
  <c r="H132" i="2"/>
  <c r="H134" i="2"/>
  <c r="H138" i="2"/>
  <c r="H140" i="2"/>
  <c r="H142" i="2"/>
  <c r="H144" i="2"/>
  <c r="H146" i="2"/>
  <c r="H148" i="2"/>
  <c r="H192" i="2"/>
  <c r="H200" i="2"/>
  <c r="J325" i="2"/>
  <c r="H194" i="2"/>
  <c r="H136" i="2"/>
  <c r="H95" i="2"/>
  <c r="H155" i="2"/>
  <c r="F158" i="2" s="1"/>
  <c r="H91" i="2"/>
  <c r="F209" i="2" s="1"/>
  <c r="H209" i="2" s="1"/>
  <c r="H210" i="2" s="1"/>
  <c r="H207" i="2" s="1"/>
  <c r="J207" i="2" s="1"/>
  <c r="H196" i="2"/>
  <c r="H190" i="2"/>
  <c r="J30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H280" i="2"/>
  <c r="H281" i="2" s="1"/>
  <c r="H278" i="2" s="1"/>
  <c r="J278" i="2" s="1"/>
  <c r="F253" i="2"/>
  <c r="F249" i="2" s="1"/>
  <c r="H249" i="2" s="1"/>
  <c r="H253" i="2" s="1"/>
  <c r="H254" i="2" s="1"/>
  <c r="H251" i="2" s="1"/>
  <c r="J251" i="2" s="1"/>
  <c r="F248" i="2"/>
  <c r="F252" i="2"/>
  <c r="H257" i="2"/>
  <c r="H255" i="2" s="1"/>
  <c r="J255" i="2" s="1"/>
  <c r="H217" i="2"/>
  <c r="H221" i="2"/>
  <c r="H222" i="2" s="1"/>
  <c r="H219" i="2" s="1"/>
  <c r="J219" i="2" s="1"/>
  <c r="H180" i="2"/>
  <c r="H237" i="2"/>
  <c r="H225" i="2"/>
  <c r="J286" i="2"/>
  <c r="J287" i="2"/>
  <c r="J288" i="2"/>
  <c r="J289" i="2"/>
  <c r="J290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F283" i="2"/>
  <c r="H276" i="2"/>
  <c r="H277" i="2" s="1"/>
  <c r="H274" i="2" s="1"/>
  <c r="J274" i="2" s="1"/>
  <c r="J285" i="2"/>
  <c r="J284" i="2" l="1"/>
  <c r="F213" i="2"/>
  <c r="H213" i="2" s="1"/>
  <c r="H214" i="2" s="1"/>
  <c r="H211" i="2" s="1"/>
  <c r="J211" i="2" s="1"/>
  <c r="H149" i="2"/>
  <c r="H258" i="2"/>
  <c r="H250" i="2"/>
  <c r="H247" i="2" s="1"/>
  <c r="J247" i="2" s="1"/>
  <c r="F159" i="2" l="1"/>
  <c r="F167" i="2" s="1"/>
  <c r="F151" i="2"/>
  <c r="J282" i="2"/>
  <c r="H245" i="2"/>
  <c r="H241" i="2"/>
  <c r="H233" i="2"/>
  <c r="H234" i="2" s="1"/>
  <c r="H231" i="2" s="1"/>
  <c r="J231" i="2" s="1"/>
  <c r="H167" i="2"/>
  <c r="J273" i="2" l="1"/>
  <c r="J64" i="2" s="1"/>
  <c r="H122" i="2"/>
  <c r="F161" i="2" s="1"/>
  <c r="H93" i="2" l="1"/>
  <c r="H269" i="2"/>
  <c r="H270" i="2" s="1"/>
  <c r="F264" i="2"/>
  <c r="F265" i="2"/>
  <c r="H261" i="2"/>
  <c r="H201" i="2"/>
  <c r="F268" i="2" l="1"/>
  <c r="H198" i="2"/>
  <c r="H242" i="2"/>
  <c r="H239" i="2" s="1"/>
  <c r="J239" i="2" s="1"/>
  <c r="H267" i="2"/>
  <c r="J267" i="2" s="1"/>
  <c r="H265" i="2"/>
  <c r="H266" i="2" s="1"/>
  <c r="H263" i="2" s="1"/>
  <c r="J263" i="2" s="1"/>
  <c r="H156" i="2" l="1"/>
  <c r="F205" i="2" s="1"/>
  <c r="H205" i="2" s="1"/>
  <c r="H206" i="2" s="1"/>
  <c r="H203" i="2" s="1"/>
  <c r="J203" i="2" s="1"/>
  <c r="J327" i="2"/>
  <c r="J326" i="2" s="1"/>
  <c r="H188" i="2"/>
  <c r="J65" i="2" l="1"/>
  <c r="H161" i="2"/>
  <c r="J93" i="2"/>
  <c r="H153" i="2"/>
  <c r="J153" i="2" s="1"/>
  <c r="H186" i="2" l="1"/>
  <c r="H246" i="2"/>
  <c r="H243" i="2" s="1"/>
  <c r="J243" i="2" s="1"/>
  <c r="F228" i="2"/>
  <c r="F229" i="2"/>
  <c r="F232" i="2" l="1"/>
  <c r="F236" i="2" s="1"/>
  <c r="H158" i="2"/>
  <c r="F170" i="2" s="1"/>
  <c r="H197" i="2"/>
  <c r="H229" i="2"/>
  <c r="F240" i="2" l="1"/>
  <c r="H183" i="2"/>
  <c r="H238" i="2"/>
  <c r="H230" i="2"/>
  <c r="H227" i="2" s="1"/>
  <c r="J227" i="2" s="1"/>
  <c r="H226" i="2"/>
  <c r="H223" i="2" s="1"/>
  <c r="J223" i="2" s="1"/>
  <c r="J84" i="3"/>
  <c r="J89" i="3"/>
  <c r="H235" i="2" l="1"/>
  <c r="J235" i="2" s="1"/>
  <c r="H262" i="2"/>
  <c r="H259" i="2" s="1"/>
  <c r="J259" i="2" s="1"/>
  <c r="J198" i="2" l="1"/>
  <c r="H92" i="2"/>
  <c r="H89" i="2" s="1"/>
  <c r="J89" i="2" s="1"/>
  <c r="H218" i="2" l="1"/>
  <c r="H168" i="2" l="1"/>
  <c r="H166" i="2" s="1"/>
  <c r="J166" i="2" s="1"/>
  <c r="H159" i="2"/>
  <c r="H215" i="2"/>
  <c r="J37" i="3"/>
  <c r="J36" i="3"/>
  <c r="AY56" i="1"/>
  <c r="J35" i="3"/>
  <c r="AX56" i="1" s="1"/>
  <c r="BI90" i="3"/>
  <c r="BH90" i="3"/>
  <c r="BG90" i="3"/>
  <c r="BF90" i="3"/>
  <c r="T90" i="3"/>
  <c r="R90" i="3"/>
  <c r="P90" i="3"/>
  <c r="BI88" i="3"/>
  <c r="BH88" i="3"/>
  <c r="BG88" i="3"/>
  <c r="BF88" i="3"/>
  <c r="T88" i="3"/>
  <c r="R88" i="3"/>
  <c r="P88" i="3"/>
  <c r="BI87" i="3"/>
  <c r="BH87" i="3"/>
  <c r="BG87" i="3"/>
  <c r="BF87" i="3"/>
  <c r="T87" i="3"/>
  <c r="R87" i="3"/>
  <c r="P87" i="3"/>
  <c r="BI85" i="3"/>
  <c r="BH85" i="3"/>
  <c r="BG85" i="3"/>
  <c r="BF85" i="3"/>
  <c r="T85" i="3"/>
  <c r="R85" i="3"/>
  <c r="P85" i="3"/>
  <c r="BI83" i="3"/>
  <c r="BH83" i="3"/>
  <c r="BG83" i="3"/>
  <c r="BF83" i="3"/>
  <c r="T83" i="3"/>
  <c r="T82" i="3" s="1"/>
  <c r="R83" i="3"/>
  <c r="R82" i="3" s="1"/>
  <c r="P83" i="3"/>
  <c r="P82" i="3" s="1"/>
  <c r="P81" i="3" s="1"/>
  <c r="AU56" i="1" s="1"/>
  <c r="F75" i="3"/>
  <c r="E73" i="3"/>
  <c r="F52" i="3"/>
  <c r="E50" i="3"/>
  <c r="J24" i="3"/>
  <c r="E24" i="3"/>
  <c r="J78" i="3" s="1"/>
  <c r="J23" i="3"/>
  <c r="J21" i="3"/>
  <c r="E21" i="3"/>
  <c r="J77" i="3" s="1"/>
  <c r="J54" i="3"/>
  <c r="J20" i="3"/>
  <c r="J18" i="3"/>
  <c r="E18" i="3"/>
  <c r="F78" i="3" s="1"/>
  <c r="J17" i="3"/>
  <c r="J15" i="3"/>
  <c r="E15" i="3"/>
  <c r="F77" i="3" s="1"/>
  <c r="J14" i="3"/>
  <c r="J12" i="3"/>
  <c r="J52" i="3" s="1"/>
  <c r="J75" i="3"/>
  <c r="E7" i="3"/>
  <c r="E71" i="3" s="1"/>
  <c r="J37" i="2"/>
  <c r="J36" i="2"/>
  <c r="AY55" i="1" s="1"/>
  <c r="J35" i="2"/>
  <c r="AX55" i="1" s="1"/>
  <c r="BI327" i="2"/>
  <c r="BH327" i="2"/>
  <c r="BG327" i="2"/>
  <c r="BF327" i="2"/>
  <c r="T327" i="2"/>
  <c r="T326" i="2" s="1"/>
  <c r="R327" i="2"/>
  <c r="R326" i="2" s="1"/>
  <c r="P327" i="2"/>
  <c r="P326" i="2" s="1"/>
  <c r="BI311" i="2"/>
  <c r="BH311" i="2"/>
  <c r="BG311" i="2"/>
  <c r="BF311" i="2"/>
  <c r="T311" i="2"/>
  <c r="R311" i="2"/>
  <c r="P311" i="2"/>
  <c r="BI310" i="2"/>
  <c r="BH310" i="2"/>
  <c r="BG310" i="2"/>
  <c r="BF310" i="2"/>
  <c r="T310" i="2"/>
  <c r="R310" i="2"/>
  <c r="P310" i="2"/>
  <c r="BI215" i="2"/>
  <c r="BH215" i="2"/>
  <c r="BG215" i="2"/>
  <c r="BF215" i="2"/>
  <c r="BI183" i="2"/>
  <c r="BH183" i="2"/>
  <c r="BG183" i="2"/>
  <c r="BF183" i="2"/>
  <c r="BI178" i="2"/>
  <c r="BH178" i="2"/>
  <c r="BG178" i="2"/>
  <c r="BF178" i="2"/>
  <c r="BI176" i="2"/>
  <c r="BH176" i="2"/>
  <c r="BG176" i="2"/>
  <c r="BF176" i="2"/>
  <c r="BI163" i="2"/>
  <c r="BH163" i="2"/>
  <c r="BG163" i="2"/>
  <c r="BF163" i="2"/>
  <c r="BI150" i="2"/>
  <c r="BH150" i="2"/>
  <c r="BG150" i="2"/>
  <c r="BF150" i="2"/>
  <c r="BI123" i="2"/>
  <c r="BH123" i="2"/>
  <c r="BG123" i="2"/>
  <c r="BF123" i="2"/>
  <c r="BI89" i="2"/>
  <c r="BH89" i="2"/>
  <c r="BG89" i="2"/>
  <c r="BF89" i="2"/>
  <c r="F80" i="2"/>
  <c r="E78" i="2"/>
  <c r="F52" i="2"/>
  <c r="E50" i="2"/>
  <c r="J24" i="2"/>
  <c r="E24" i="2"/>
  <c r="J83" i="2" s="1"/>
  <c r="J23" i="2"/>
  <c r="J21" i="2"/>
  <c r="E21" i="2"/>
  <c r="J82" i="2" s="1"/>
  <c r="J20" i="2"/>
  <c r="J18" i="2"/>
  <c r="E18" i="2"/>
  <c r="F55" i="2" s="1"/>
  <c r="J17" i="2"/>
  <c r="J15" i="2"/>
  <c r="E15" i="2"/>
  <c r="F54" i="2" s="1"/>
  <c r="J14" i="2"/>
  <c r="J52" i="2"/>
  <c r="E7" i="2"/>
  <c r="E48" i="2" s="1"/>
  <c r="L50" i="1"/>
  <c r="AM50" i="1"/>
  <c r="AM49" i="1"/>
  <c r="L49" i="1"/>
  <c r="AM47" i="1"/>
  <c r="L47" i="1"/>
  <c r="L45" i="1"/>
  <c r="L44" i="1"/>
  <c r="J87" i="3"/>
  <c r="BE87" i="3" s="1"/>
  <c r="BK327" i="2"/>
  <c r="BK326" i="2" s="1"/>
  <c r="BK85" i="3"/>
  <c r="BK88" i="3"/>
  <c r="BK90" i="3"/>
  <c r="BE311" i="2"/>
  <c r="AS54" i="1"/>
  <c r="BK311" i="2"/>
  <c r="J83" i="3"/>
  <c r="BK310" i="2"/>
  <c r="BK87" i="3"/>
  <c r="J90" i="3"/>
  <c r="BE90" i="3" s="1"/>
  <c r="J85" i="3"/>
  <c r="BE85" i="3" s="1"/>
  <c r="J88" i="3"/>
  <c r="BE88" i="3" s="1"/>
  <c r="BK83" i="3"/>
  <c r="P86" i="3"/>
  <c r="F54" i="3"/>
  <c r="J86" i="3" l="1"/>
  <c r="BE83" i="3"/>
  <c r="J82" i="3"/>
  <c r="H181" i="2"/>
  <c r="T86" i="3"/>
  <c r="T81" i="3" s="1"/>
  <c r="J55" i="3"/>
  <c r="F55" i="3"/>
  <c r="R86" i="3"/>
  <c r="R81" i="3" s="1"/>
  <c r="F36" i="3"/>
  <c r="BC56" i="1" s="1"/>
  <c r="BK86" i="3"/>
  <c r="BK82" i="3"/>
  <c r="F35" i="3"/>
  <c r="BB56" i="1" s="1"/>
  <c r="F37" i="3"/>
  <c r="BD56" i="1" s="1"/>
  <c r="J34" i="3"/>
  <c r="AW56" i="1" s="1"/>
  <c r="BE310" i="2"/>
  <c r="E48" i="3"/>
  <c r="F34" i="3"/>
  <c r="BA56" i="1" s="1"/>
  <c r="E76" i="2"/>
  <c r="J215" i="2"/>
  <c r="BE327" i="2"/>
  <c r="J66" i="2"/>
  <c r="J183" i="2"/>
  <c r="BK89" i="2"/>
  <c r="F83" i="2"/>
  <c r="J54" i="2"/>
  <c r="J55" i="2"/>
  <c r="BK215" i="2"/>
  <c r="BK284" i="2"/>
  <c r="J34" i="2"/>
  <c r="AW55" i="1" s="1"/>
  <c r="F37" i="2"/>
  <c r="BD55" i="1" s="1"/>
  <c r="P284" i="2"/>
  <c r="T284" i="2"/>
  <c r="F82" i="2"/>
  <c r="F35" i="2"/>
  <c r="BB55" i="1" s="1"/>
  <c r="F36" i="2"/>
  <c r="BC55" i="1" s="1"/>
  <c r="R284" i="2"/>
  <c r="R89" i="2"/>
  <c r="F34" i="2"/>
  <c r="BA55" i="1" s="1"/>
  <c r="T89" i="2"/>
  <c r="P89" i="2"/>
  <c r="J81" i="3" l="1"/>
  <c r="J59" i="3" s="1"/>
  <c r="J61" i="3"/>
  <c r="BC54" i="1"/>
  <c r="W32" i="1" s="1"/>
  <c r="H174" i="2"/>
  <c r="F160" i="2" s="1"/>
  <c r="BB54" i="1"/>
  <c r="W31" i="1" s="1"/>
  <c r="BD54" i="1"/>
  <c r="W33" i="1" s="1"/>
  <c r="BK81" i="3"/>
  <c r="J60" i="3"/>
  <c r="BA54" i="1"/>
  <c r="W30" i="1" s="1"/>
  <c r="BE215" i="2"/>
  <c r="BE183" i="2"/>
  <c r="H182" i="2"/>
  <c r="H178" i="2" s="1"/>
  <c r="H176" i="2" s="1"/>
  <c r="BE89" i="2"/>
  <c r="H151" i="2"/>
  <c r="H152" i="2" s="1"/>
  <c r="P183" i="2"/>
  <c r="BK183" i="2"/>
  <c r="R183" i="2"/>
  <c r="T183" i="2"/>
  <c r="H123" i="2"/>
  <c r="T123" i="2" s="1"/>
  <c r="BK202" i="2"/>
  <c r="J30" i="3" l="1"/>
  <c r="F33" i="3" s="1"/>
  <c r="AY54" i="1"/>
  <c r="H172" i="2"/>
  <c r="J172" i="2" s="1"/>
  <c r="H160" i="2"/>
  <c r="H162" i="2" s="1"/>
  <c r="F164" i="2" s="1"/>
  <c r="AW54" i="1"/>
  <c r="AK30" i="1" s="1"/>
  <c r="AX54" i="1"/>
  <c r="AG56" i="1"/>
  <c r="H170" i="2"/>
  <c r="H171" i="2" s="1"/>
  <c r="H169" i="2" s="1"/>
  <c r="J169" i="2" s="1"/>
  <c r="H150" i="2"/>
  <c r="T178" i="2"/>
  <c r="BK176" i="2"/>
  <c r="P178" i="2"/>
  <c r="R178" i="2"/>
  <c r="BK178" i="2"/>
  <c r="J178" i="2"/>
  <c r="BE178" i="2" s="1"/>
  <c r="P123" i="2"/>
  <c r="BK123" i="2"/>
  <c r="J123" i="2"/>
  <c r="R123" i="2"/>
  <c r="J33" i="3" l="1"/>
  <c r="AZ56" i="1"/>
  <c r="H164" i="2"/>
  <c r="H165" i="2" s="1"/>
  <c r="H163" i="2" s="1"/>
  <c r="J163" i="2" s="1"/>
  <c r="BE163" i="2" s="1"/>
  <c r="H157" i="2"/>
  <c r="J157" i="2" s="1"/>
  <c r="R150" i="2"/>
  <c r="J150" i="2"/>
  <c r="BE150" i="2" s="1"/>
  <c r="T150" i="2"/>
  <c r="P150" i="2"/>
  <c r="BK150" i="2"/>
  <c r="J176" i="2"/>
  <c r="J175" i="2" s="1"/>
  <c r="BK175" i="2"/>
  <c r="BE123" i="2"/>
  <c r="T176" i="2"/>
  <c r="T175" i="2" s="1"/>
  <c r="R176" i="2"/>
  <c r="R175" i="2" s="1"/>
  <c r="P176" i="2"/>
  <c r="P175" i="2" s="1"/>
  <c r="J88" i="2" l="1"/>
  <c r="AV56" i="1"/>
  <c r="AT56" i="1" s="1"/>
  <c r="AN56" i="1" s="1"/>
  <c r="J39" i="3"/>
  <c r="BK163" i="2"/>
  <c r="BK88" i="2" s="1"/>
  <c r="BK87" i="2" s="1"/>
  <c r="BK86" i="2" s="1"/>
  <c r="R163" i="2"/>
  <c r="R88" i="2" s="1"/>
  <c r="R87" i="2" s="1"/>
  <c r="R86" i="2" s="1"/>
  <c r="T163" i="2"/>
  <c r="T88" i="2" s="1"/>
  <c r="T87" i="2" s="1"/>
  <c r="T86" i="2" s="1"/>
  <c r="P163" i="2"/>
  <c r="P88" i="2" s="1"/>
  <c r="P87" i="2" s="1"/>
  <c r="P86" i="2" s="1"/>
  <c r="AU55" i="1" s="1"/>
  <c r="AU54" i="1" s="1"/>
  <c r="J62" i="2"/>
  <c r="BE176" i="2"/>
  <c r="J61" i="2" l="1"/>
  <c r="J271" i="2"/>
  <c r="J202" i="2" l="1"/>
  <c r="J87" i="2" s="1"/>
  <c r="J63" i="2" l="1"/>
  <c r="J60" i="2"/>
  <c r="J86" i="2"/>
  <c r="J30" i="2" l="1"/>
  <c r="J59" i="2"/>
  <c r="AG55" i="1" l="1"/>
  <c r="F33" i="2"/>
  <c r="J33" i="2" l="1"/>
  <c r="AZ55" i="1"/>
  <c r="AZ54" i="1" s="1"/>
  <c r="AV54" i="1" s="1"/>
  <c r="AT54" i="1" s="1"/>
  <c r="AN55" i="1"/>
  <c r="AG54" i="1"/>
  <c r="AN54" i="1" l="1"/>
  <c r="AK26" i="1"/>
  <c r="AV55" i="1"/>
  <c r="AT55" i="1" s="1"/>
  <c r="J39" i="2"/>
  <c r="AK29" i="1" l="1"/>
  <c r="AK35" i="1" s="1"/>
  <c r="W29" i="1"/>
</calcChain>
</file>

<file path=xl/sharedStrings.xml><?xml version="1.0" encoding="utf-8"?>
<sst xmlns="http://schemas.openxmlformats.org/spreadsheetml/2006/main" count="2041" uniqueCount="538">
  <si>
    <t>Export Komplet</t>
  </si>
  <si>
    <t>VZ</t>
  </si>
  <si>
    <t>2.0</t>
  </si>
  <si>
    <t>ZAMOK</t>
  </si>
  <si>
    <t>False</t>
  </si>
  <si>
    <t>{620cec20-1678-4466-bf86-c22c3d3677be}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</si>
  <si>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</si>
  <si>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</si>
  <si>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</si>
  <si>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</si>
  <si>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</si>
  <si>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</si>
  <si>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</si>
  <si>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</si>
  <si>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202313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</si>
  <si>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</si>
  <si>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</si>
  <si>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KSO:</t>
  </si>
  <si>
    <t/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</si>
  <si>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</si>
  <si>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</si>
  <si>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</si>
  <si>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</si>
  <si>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</si>
  <si>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</si>
  <si>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</si>
  <si>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</si>
  <si>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</si>
  <si>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</si>
  <si>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</si>
  <si>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</si>
  <si>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</si>
  <si>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</si>
  <si>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</si>
  <si>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</si>
  <si>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</si>
  <si>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</si>
  <si>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</si>
  <si>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</si>
  <si>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</si>
  <si>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</si>
  <si>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</si>
  <si>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</si>
  <si>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</si>
  <si>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</si>
  <si>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</si>
  <si>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</si>
  <si>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</si>
  <si>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</si>
  <si>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</si>
  <si>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</si>
  <si>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</si>
  <si>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</si>
  <si>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</si>
  <si>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</si>
  <si>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</si>
  <si>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</si>
  <si>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</si>
  <si>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</si>
  <si>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</si>
  <si>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</si>
  <si>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</si>
  <si>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</si>
  <si>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</si>
  <si>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</si>
  <si>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</si>
  <si>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</si>
  <si>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</si>
  <si>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</si>
  <si>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</si>
  <si>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</si>
  <si>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</si>
  <si>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</si>
  <si>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</si>
  <si>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</si>
  <si>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</si>
  <si>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{5c632852-c639-403e-893e-3ffaed897e65}</t>
  </si>
  <si>
    <t>2</t>
  </si>
  <si>
    <t>02</t>
  </si>
  <si>
    <t>VRN</t>
  </si>
  <si>
    <t>{8e3fc6a3-ba81-442c-aebb-8f30ec881aa8}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</si>
  <si>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</si>
  <si>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</si>
  <si>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</si>
  <si>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</si>
  <si>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</si>
  <si>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</si>
  <si>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-1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</si>
  <si>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</si>
  <si>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</si>
  <si>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</si>
  <si>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</si>
  <si>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</si>
  <si>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</si>
  <si>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</si>
  <si>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</si>
  <si>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</si>
  <si>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</si>
  <si>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</si>
  <si>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</si>
  <si>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</si>
  <si>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</si>
  <si>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</si>
  <si>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</si>
  <si>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</si>
  <si>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</si>
  <si>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ROZPOCET</t>
  </si>
  <si>
    <t>Zemní práce</t>
  </si>
  <si>
    <t>K</t>
  </si>
  <si>
    <t>m2</t>
  </si>
  <si>
    <t>4</t>
  </si>
  <si>
    <t>Online PSC</t>
  </si>
  <si>
    <t>VV</t>
  </si>
  <si>
    <t>Součet</t>
  </si>
  <si>
    <t>m3</t>
  </si>
  <si>
    <t>780780387</t>
  </si>
  <si>
    <t>-590856183</t>
  </si>
  <si>
    <t>162251102</t>
  </si>
  <si>
    <t>487103606</t>
  </si>
  <si>
    <t>5</t>
  </si>
  <si>
    <t>M</t>
  </si>
  <si>
    <t>8</t>
  </si>
  <si>
    <t>9</t>
  </si>
  <si>
    <t>kus</t>
  </si>
  <si>
    <t>-511348746</t>
  </si>
  <si>
    <t>Zakládání</t>
  </si>
  <si>
    <t>213141111</t>
  </si>
  <si>
    <t>Zřízení vrstvy z geotextilie filtrační, separační, odvodňovací, ochranné, výztužné nebo protierozní v rovině nebo ve sklonu do 1:5, šířky do 3 m</t>
  </si>
  <si>
    <t>-1728362482</t>
  </si>
  <si>
    <t>69311081</t>
  </si>
  <si>
    <t>geotextilie netkaná separační, ochranná, filtrační, drenážní PES 300g/m2</t>
  </si>
  <si>
    <t>-559730378</t>
  </si>
  <si>
    <t>275313711</t>
  </si>
  <si>
    <t>-972382261</t>
  </si>
  <si>
    <t>Komunikace pozemní</t>
  </si>
  <si>
    <t>kpl</t>
  </si>
  <si>
    <t>874062561</t>
  </si>
  <si>
    <t>Ostatní konstrukce a práce, bourání</t>
  </si>
  <si>
    <t>-2001678364</t>
  </si>
  <si>
    <t>-1335285717</t>
  </si>
  <si>
    <t>998</t>
  </si>
  <si>
    <t>Přesun hmot</t>
  </si>
  <si>
    <t>998223011</t>
  </si>
  <si>
    <t>t</t>
  </si>
  <si>
    <t>1211308920</t>
  </si>
  <si>
    <t>02 - VRN</t>
  </si>
  <si>
    <t>ON - Ostatní náklady</t>
  </si>
  <si>
    <t>VN - Vedlejší náklady</t>
  </si>
  <si>
    <t>ON</t>
  </si>
  <si>
    <t>Ostatní náklady</t>
  </si>
  <si>
    <t>ON0000R14</t>
  </si>
  <si>
    <t>1110531614</t>
  </si>
  <si>
    <t>ON0000R16</t>
  </si>
  <si>
    <t>Dokladová část předání díla</t>
  </si>
  <si>
    <t>372564415</t>
  </si>
  <si>
    <t>VN</t>
  </si>
  <si>
    <t>Vedlejší náklady</t>
  </si>
  <si>
    <t>VRN000R01</t>
  </si>
  <si>
    <t>Vybudování zařízení staveniště</t>
  </si>
  <si>
    <t>sada</t>
  </si>
  <si>
    <t>-1109135257</t>
  </si>
  <si>
    <t>VRN000R02</t>
  </si>
  <si>
    <t>Provoz zařízení staveniště</t>
  </si>
  <si>
    <t>1605340955</t>
  </si>
  <si>
    <t>VRN000R03</t>
  </si>
  <si>
    <t>Odstranění zařízení staveniště</t>
  </si>
  <si>
    <t>-1832289155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</si>
  <si>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</si>
  <si>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</si>
  <si>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</si>
  <si>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</si>
  <si>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</si>
  <si>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</si>
  <si>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</si>
  <si>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</si>
  <si>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</si>
  <si>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</si>
  <si>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</si>
  <si>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</si>
  <si>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</si>
  <si>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</si>
  <si>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</si>
  <si>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</si>
  <si>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</si>
  <si>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</si>
  <si>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</si>
  <si>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</si>
  <si>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</si>
  <si>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</si>
  <si>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</si>
  <si>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</si>
  <si>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</si>
  <si>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</si>
  <si>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</si>
  <si>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</si>
  <si>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</si>
  <si>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</si>
  <si>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</si>
  <si>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</si>
  <si>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</si>
  <si>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</si>
  <si>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</si>
  <si>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</si>
  <si>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</si>
  <si>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</si>
  <si>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</si>
  <si>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</si>
  <si>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</si>
  <si>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</si>
  <si>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</si>
  <si>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</si>
  <si>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</si>
  <si>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</si>
  <si>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</si>
  <si>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</si>
  <si>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</si>
  <si>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</si>
  <si>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</si>
  <si>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</si>
  <si>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</si>
  <si>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</si>
  <si>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</si>
  <si>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</si>
  <si>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</si>
  <si>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</si>
  <si>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</si>
  <si>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</si>
  <si>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</si>
  <si>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</si>
  <si>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</si>
  <si>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</si>
  <si>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</si>
  <si>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</si>
  <si>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</si>
  <si>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</si>
  <si>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</si>
  <si>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</si>
  <si>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</si>
  <si>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</si>
  <si>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</si>
  <si>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</si>
  <si>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</si>
  <si>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</si>
  <si>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</si>
  <si>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</si>
  <si>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</si>
  <si>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</si>
  <si>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</si>
  <si>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</si>
  <si>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</si>
  <si>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</si>
  <si>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</si>
  <si>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</si>
  <si>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</si>
  <si>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</si>
  <si>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</si>
  <si>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</si>
  <si>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</si>
  <si>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</si>
  <si>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</si>
  <si>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</si>
  <si>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</si>
  <si>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</si>
  <si>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</si>
  <si>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</si>
  <si>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</si>
  <si>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</si>
  <si>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</si>
  <si>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</si>
  <si>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</si>
  <si>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</si>
  <si>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</si>
  <si>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</si>
  <si>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</si>
  <si>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</si>
  <si>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</si>
  <si>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</si>
  <si>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</si>
  <si>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</si>
  <si>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</si>
  <si>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</si>
  <si>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</si>
  <si>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</si>
  <si>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</si>
  <si>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</si>
  <si>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</si>
  <si>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</si>
  <si>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</si>
  <si>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</si>
  <si>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</si>
  <si>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</si>
  <si>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</si>
  <si>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</si>
  <si>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</si>
  <si>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</si>
  <si>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</si>
  <si>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</si>
  <si>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</si>
  <si>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</si>
  <si>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</si>
  <si>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</si>
  <si>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</si>
  <si>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</si>
  <si>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</si>
  <si>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</si>
  <si>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</si>
  <si>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</si>
  <si>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</si>
  <si>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</si>
  <si>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</si>
  <si>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</si>
  <si>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</si>
  <si>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</si>
  <si>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</si>
  <si>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</si>
  <si>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</si>
  <si>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</si>
  <si>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</si>
  <si>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</si>
  <si>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</si>
  <si>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</si>
  <si>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</si>
  <si>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</si>
  <si>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</si>
  <si>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</si>
  <si>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</si>
  <si>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</si>
  <si>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</si>
  <si>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</si>
  <si>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</si>
  <si>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</si>
  <si>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</si>
  <si>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</si>
  <si>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</si>
  <si>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</si>
  <si>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</si>
  <si>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</si>
  <si>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</si>
  <si>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</si>
  <si>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</si>
  <si>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</si>
  <si>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</si>
  <si>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</si>
  <si>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</si>
  <si>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</si>
  <si>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</si>
  <si>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</si>
  <si>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</si>
  <si>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</si>
  <si>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</si>
  <si>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</si>
  <si>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</si>
  <si>
    <t>Výkop jam pro spodní stavbu hřiště</t>
  </si>
  <si>
    <t>Poplatek za uložení na skládce (skládkovné) zeminy a kamení kód odpadu 17 05 04</t>
  </si>
  <si>
    <t>171201221</t>
  </si>
  <si>
    <t>P1</t>
  </si>
  <si>
    <t>P2</t>
  </si>
  <si>
    <t>P3</t>
  </si>
  <si>
    <t>P4</t>
  </si>
  <si>
    <t>Odvoz suti a vybouraných hmot na skládku nebo meziskládku do 1 km se složením</t>
  </si>
  <si>
    <t>997013501</t>
  </si>
  <si>
    <t>Příplatek k odvozu suti a vybouraných hmot na skládku ZKD 1 km přes 1 km</t>
  </si>
  <si>
    <t>Vodorovné přemístění přes 20 do 50 m výkopku/sypaniny z horniny třídy těžitelnosti I skupiny 1 až 3 vzdálenost přes 20 do 50 m</t>
  </si>
  <si>
    <t xml:space="preserve">Přesun hmot </t>
  </si>
  <si>
    <t xml:space="preserve">"Stávající herní plocha </t>
  </si>
  <si>
    <t>"pískoviště</t>
  </si>
  <si>
    <t>"P4</t>
  </si>
  <si>
    <t>"P3</t>
  </si>
  <si>
    <t>;</t>
  </si>
  <si>
    <t>VRN000R04</t>
  </si>
  <si>
    <t>Oplocení staveniště</t>
  </si>
  <si>
    <t>ON0000R15</t>
  </si>
  <si>
    <t>Vytyčení inženýrských sítí</t>
  </si>
  <si>
    <t>271562211R0</t>
  </si>
  <si>
    <t>589161119R00</t>
  </si>
  <si>
    <t>589161110R00</t>
  </si>
  <si>
    <t>961055111</t>
  </si>
  <si>
    <t>Bourání základů ze ŽB</t>
  </si>
  <si>
    <t>"Stávající herní prvky</t>
  </si>
  <si>
    <t>"P1</t>
  </si>
  <si>
    <t>"P2</t>
  </si>
  <si>
    <t>"P5</t>
  </si>
  <si>
    <t>"P6</t>
  </si>
  <si>
    <t>"P7</t>
  </si>
  <si>
    <t>"P8</t>
  </si>
  <si>
    <t>"P9</t>
  </si>
  <si>
    <t>"P10</t>
  </si>
  <si>
    <t>"Základ pro spodní stavbu hřiště</t>
  </si>
  <si>
    <t>P5</t>
  </si>
  <si>
    <t>P6</t>
  </si>
  <si>
    <t>P7</t>
  </si>
  <si>
    <t>P8</t>
  </si>
  <si>
    <t>P9</t>
  </si>
  <si>
    <t>P10</t>
  </si>
  <si>
    <t>m</t>
  </si>
  <si>
    <t>ks</t>
  </si>
  <si>
    <t>Hloubení šachet nezapažených v hornině třídy těžitelnosti I skupiny 3 objem do 50 m3</t>
  </si>
  <si>
    <t>133251102</t>
  </si>
  <si>
    <t>Poplatek za uložení na skládce (skládkovné) stavebního odpadu betonového kód odpadu 17 01 01</t>
  </si>
  <si>
    <t>469973111</t>
  </si>
  <si>
    <t>565141111R</t>
  </si>
  <si>
    <t>Základová zeď tl přes 150 do 200 mm z tvárnic ztraceného bednění včetně výplně z betonu tř. C 16/20</t>
  </si>
  <si>
    <t>279113132</t>
  </si>
  <si>
    <t>"Pískoviště</t>
  </si>
  <si>
    <t>Pískoviště</t>
  </si>
  <si>
    <t>Podklad z kameniva hrubého drceného vel. 0-32 mm plochy do 100 m2 tl 100 mm</t>
  </si>
  <si>
    <t>564730001</t>
  </si>
  <si>
    <t>596811220</t>
  </si>
  <si>
    <t>Kladení betonové dlažby do lože z kameniva velikosti 300x300x50 mm pl do 50 m2</t>
  </si>
  <si>
    <t>EPDM</t>
  </si>
  <si>
    <t>Rozebrání dlažeb vozovek z plastových nebo pryžových dlaždic lože z kameniva strojně pl přes 200 m2</t>
  </si>
  <si>
    <t>113106581</t>
  </si>
  <si>
    <t>CS ÚRS 2024/I</t>
  </si>
  <si>
    <t>Poplatek za uložení na skládce (skládkovné) stavebního odpadu z plastických hmot kód odpadu 17 02 03</t>
  </si>
  <si>
    <t>469973115</t>
  </si>
  <si>
    <t>Odstranění podkladů zpevněných ploch z kameniva drceného</t>
  </si>
  <si>
    <t>113152112</t>
  </si>
  <si>
    <t>Geodetické práce před výstavbou</t>
  </si>
  <si>
    <t>Vyrovnávací elastická podložka na hřiště SBR velikosti 2-6 mm, tl  do 90 mm</t>
  </si>
  <si>
    <t>Konstrukce truhlářské</t>
  </si>
  <si>
    <t>%</t>
  </si>
  <si>
    <t>Přesun hmot, pozemní komunikace</t>
  </si>
  <si>
    <t>Pozemní komunikace</t>
  </si>
  <si>
    <t xml:space="preserve">Vyrovnání povrchu dosavadních podkladů ze štěrku s rozprostřením hmot </t>
  </si>
  <si>
    <t>564492111R</t>
  </si>
  <si>
    <t>Úprava podkladů ze štěrku se zhutněním, strojně</t>
  </si>
  <si>
    <t>specif.</t>
  </si>
  <si>
    <t>Přesun hmot procentní pro kce truhlářské v objektech v do 6 m</t>
  </si>
  <si>
    <t>998766201</t>
  </si>
  <si>
    <t>998223011R</t>
  </si>
  <si>
    <t xml:space="preserve">Stávající herní plocha </t>
  </si>
  <si>
    <t>Doplnění stávajícich podkladů ze štěrku po odstranění vrstvy</t>
  </si>
  <si>
    <t>"Stávajíci plocha, štěrkodrt</t>
  </si>
  <si>
    <t>Podklad pro zpevněné plochy z kameniva drceného 0 až 63 mm</t>
  </si>
  <si>
    <t>291111111</t>
  </si>
  <si>
    <t>Certifikovaný písek dle vyhlášky č.238/2011 Sb.</t>
  </si>
  <si>
    <t>Dlažba betonová, rozměr 300x300x50 mm</t>
  </si>
  <si>
    <t>Základové patky z betonu tř. C 20/25</t>
  </si>
  <si>
    <t>Podklad nebo podsyp, lomový prach fr. 0-4 mm, tl do 30 mm</t>
  </si>
  <si>
    <t xml:space="preserve">    766 - Konstrukce truhlářské</t>
  </si>
  <si>
    <t xml:space="preserve">Práce a dodávky </t>
  </si>
  <si>
    <t>Montáž konstrukcí herních prvků</t>
  </si>
  <si>
    <t>Dětské hřiště, Praha 20, ul. Běluňská</t>
  </si>
  <si>
    <t>25*1,1845 'Přepočtené koeficientem množství</t>
  </si>
  <si>
    <t>125+140+105</t>
  </si>
  <si>
    <t>Bezpečnostní dopadová plocha, polyuretanový povrch EPDM, tl 10 mm - EPDM - Brown - RAL8025 - Ref.92010 + EPDM - Sand - RAL1001 - Ref. 92029, 50/50</t>
  </si>
  <si>
    <t>Bezpečnostní dopadová plocha, polyuretanový povrch EPDM, tl 10 mm - EPDM - Beige - RAL1001 - Ref.92013 + EPDM - Sand - RAL1001 - Ref. 92029, 50/50</t>
  </si>
  <si>
    <t>Bezpečnostní dopadová plocha, polyuretanový povrch EPDM, tl 10 mm  EPDM - Sky blue - RAL5015 - Ref.92007 + EPDM - Aqua - RAL5018 - Ref. 92052, 50/50</t>
  </si>
  <si>
    <t>25+85</t>
  </si>
  <si>
    <t>"skladba pod pískoviště, dřevní štěpka</t>
  </si>
  <si>
    <t>Bezpečnostní dopadová plocha venkovní na dětském hřišti tl 40 cm z písku</t>
  </si>
  <si>
    <t>936009122</t>
  </si>
  <si>
    <t>Bezpečnostní dopadová plocha venkovní na dětském hřišti tl 30 cm z dřevní štěpky</t>
  </si>
  <si>
    <t>936009120R</t>
  </si>
  <si>
    <t>Dřěvní štěpka</t>
  </si>
  <si>
    <t>Dlažba zámková, imitace žulových dlažebních kostek</t>
  </si>
  <si>
    <t>Nově navržená plocha</t>
  </si>
  <si>
    <t>Kladení zámkové dlažby komunikací pro pěší ručně tl 60 mm skupiny A pl přes 50 do 100 m2</t>
  </si>
  <si>
    <t>596211111</t>
  </si>
  <si>
    <t>Podklad nebo lože pod dlažbu vodorovný nebo do sklonu 1:5 z kameniva těženého tl přes 30 do 100 mm</t>
  </si>
  <si>
    <t>451577777</t>
  </si>
  <si>
    <t>916232111</t>
  </si>
  <si>
    <t>Obruba ploch pro tělovýchovu z obrubníků do betonového lože výšky 25 mm, tl. 80 mm, barva přírodní</t>
  </si>
  <si>
    <t xml:space="preserve">Obruba </t>
  </si>
  <si>
    <t>Akátový kůl Ø180 mm, v. 200 - 600 mm</t>
  </si>
  <si>
    <t>Palisáda</t>
  </si>
  <si>
    <t xml:space="preserve">Montáž prvků městské a zahradní architektury </t>
  </si>
  <si>
    <t>936001002R</t>
  </si>
  <si>
    <t>M1</t>
  </si>
  <si>
    <t>M2</t>
  </si>
  <si>
    <t>M3</t>
  </si>
  <si>
    <t>M4</t>
  </si>
  <si>
    <t>Montáž konstrukcí mobiliáře</t>
  </si>
  <si>
    <t>M5</t>
  </si>
  <si>
    <t>E1</t>
  </si>
  <si>
    <t>E2</t>
  </si>
  <si>
    <t>E3</t>
  </si>
  <si>
    <t>E4</t>
  </si>
  <si>
    <t>E5</t>
  </si>
  <si>
    <t>Montáž 3D prvku</t>
  </si>
  <si>
    <t>herní prvek - Portálová houpačka+ hnízdo</t>
  </si>
  <si>
    <t>herní prvek - Visutý most</t>
  </si>
  <si>
    <t>herní prvek - Houpačka motýl</t>
  </si>
  <si>
    <t xml:space="preserve">herní prvek - Stávající kolotoč </t>
  </si>
  <si>
    <t>Přemístění</t>
  </si>
  <si>
    <t>herní prvek - Hrad + Cliff Rider</t>
  </si>
  <si>
    <t>herní prvek -  Pružinové houpadlo, osel</t>
  </si>
  <si>
    <t>herní prvek - Kolotoč, talíř</t>
  </si>
  <si>
    <t>herní prvek - Balanční lekníny</t>
  </si>
  <si>
    <t>herní prvek - Kreslící tabule</t>
  </si>
  <si>
    <t>herní prvek - Herní stůl s pískem</t>
  </si>
  <si>
    <t>mobiliář -  Kosočtvercová stínící konstrukce</t>
  </si>
  <si>
    <t>mobiliář -  Lavice s opěrkou</t>
  </si>
  <si>
    <t>mobiliář - Odpadkový koš</t>
  </si>
  <si>
    <t>mobiliář - Odpadkový koš na tříděný odpad</t>
  </si>
  <si>
    <t>mobiliář - Návštěvní řád vč. konstrukce</t>
  </si>
  <si>
    <t xml:space="preserve">3D prvek z EPDM, Betonové pískoviště s povrchem z EPDM </t>
  </si>
  <si>
    <t>Montáž 2D prvku</t>
  </si>
  <si>
    <t>2D prvek z EPDM, Flek - Barva: Aqua</t>
  </si>
  <si>
    <t>2D prvek z EPDM, Kámen - Barva: Light grey/Soft grey</t>
  </si>
  <si>
    <t>2D prvek z EPDM, Ryba malá - Barva: Aqua</t>
  </si>
  <si>
    <t>2D prvek z EPDM, Most - Barva: Brown</t>
  </si>
  <si>
    <t>21*24</t>
  </si>
  <si>
    <t>2,8+0,8+1,2+0,4+0,8+0,8+0,5</t>
  </si>
  <si>
    <t>bourané herní prvky, 30% (2,8+0,8+1,2+0,4+0,8+0,8+0,5)*0,3</t>
  </si>
  <si>
    <t>25*0,4</t>
  </si>
  <si>
    <t>25*(3,14*0,25*0,25*1)+5*(3,14*0,35*0,35*1)+(3,14*0,15*0,14*0,6)+2*(0,3*0,7*0,6)+4*(0,4*0,6*0,6)</t>
  </si>
  <si>
    <t>(23*0,6)*1,15</t>
  </si>
  <si>
    <t>0,28+2,896</t>
  </si>
  <si>
    <t>"M1 a M5</t>
  </si>
  <si>
    <t>(0,45*0,75*0,9*6)*0,8</t>
  </si>
  <si>
    <t>(0,4*0,4*1*4)*0,8</t>
  </si>
  <si>
    <t>(0,705*0,56*0,41*2)*0,8</t>
  </si>
  <si>
    <t>(3,14*0,15*0,15*1)*0,8</t>
  </si>
  <si>
    <t>(0,41*0,75*0,56)*0,6</t>
  </si>
  <si>
    <t>(3,14*0,2*0,2*0,9)*0,8</t>
  </si>
  <si>
    <t>(5*3,14*0,2*0,2*1)*0,8</t>
  </si>
  <si>
    <t>(2*3,14*0,2*0,2*1)*0,8</t>
  </si>
  <si>
    <t>2*0,8*(3,14*0,15*0,15*1)+0,3*0,3*0,6*0,8</t>
  </si>
  <si>
    <t>6*(3,14*0,3*0,3*1)*0,8</t>
  </si>
  <si>
    <t>25*0,2</t>
  </si>
  <si>
    <t>(0,45*0,75*0,9*6)*0,2</t>
  </si>
  <si>
    <t>(0,4*0,4*1*4)*0,2</t>
  </si>
  <si>
    <t>(0,705*0,56*0,41*2)*0,2</t>
  </si>
  <si>
    <t>(25*(3,14*0,25*0,25*1)+5*(3,14*0,35*0,35*1)+(3,14*0,15*0,14*0,6)+2*(0,3*0,7*0,6)+4*(0,4*0,6*0,6))*0,2</t>
  </si>
  <si>
    <t>(0,41*0,75*0,56)*0,4</t>
  </si>
  <si>
    <t>(3,14*0,2*0,2*0,9)*0,2</t>
  </si>
  <si>
    <t>(5*3,14*0,2*0,2*1)*0,2</t>
  </si>
  <si>
    <t>(2*3,14*0,2*0,2*1)*0,2</t>
  </si>
  <si>
    <t>2*0,2*(3,14*0,15*0,15*1)+0,3*0,3*0,6*0,2</t>
  </si>
  <si>
    <t>6*(3,14*0,3*0,3*1)*0,2</t>
  </si>
  <si>
    <t>(3,14*0,15*0,15*1)*0,2</t>
  </si>
  <si>
    <t>0,055*504</t>
  </si>
  <si>
    <t>"štěpka</t>
  </si>
  <si>
    <t>85*0,2</t>
  </si>
  <si>
    <t>M1+M2</t>
  </si>
  <si>
    <t>Doplnění oplocení + repasé původního</t>
  </si>
  <si>
    <t>997013509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</si>
</sst>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0"/>
  </numFmts>
  <fonts count="51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charset val="238"/>
    </font>
    <font>
      <i/>
      <u/>
      <sz val="7"/>
      <color rgb="FF979797"/>
      <name val="Calibri"/>
      <family val="2"/>
      <charset val="238"/>
      <scheme val="minor"/>
    </font>
    <font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/>
    </xf>
    <xf numFmtId="4" fontId="21" fillId="0" borderId="1" xfId="0" applyNumberFormat="1" applyFont="1" applyBorder="1" applyAlignment="1" applyProtection="1">
      <alignment vertical="center"/>
      <protection locked="0"/>
    </xf>
    <xf numFmtId="167" fontId="9" fillId="0" borderId="0" xfId="0" applyNumberFormat="1" applyFont="1" applyAlignment="1">
      <alignment horizontal="left" vertical="center" wrapText="1"/>
    </xf>
    <xf numFmtId="0" fontId="49" fillId="0" borderId="0" xfId="1" applyFont="1" applyAlignment="1" applyProtection="1">
      <alignment vertical="center" wrapText="1"/>
    </xf>
    <xf numFmtId="0" fontId="50" fillId="0" borderId="23" xfId="0" applyFont="1" applyBorder="1" applyAlignment="1">
      <alignment horizontal="left" vertical="center" wrapText="1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49" fontId="21" fillId="0" borderId="23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49" fontId="21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49" fontId="36" fillId="0" borderId="23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168" fontId="9" fillId="0" borderId="0" xfId="0" applyNumberFormat="1" applyFont="1" applyAlignment="1">
      <alignment horizontal="left" vertical="center" wrapText="1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topLeftCell="A37" workbookViewId="0">
      <selection activeCell="Q17" sqref="Q17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5" customWidth="1"/>
    <col min="35" max="35" width="31.6640625" customWidth="1"/>
    <col min="36" max="37" width="2.5" customWidth="1"/>
    <col min="38" max="38" width="8.33203125" customWidth="1"/>
    <col min="39" max="39" width="3.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 x14ac:dyDescent="0.2"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S2" s="17" t="s">
        <v>6</v>
      </c>
      <c r="BT2" s="17" t="s">
        <v>7</v>
      </c>
    </row>
    <row r="3" spans="1:74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 x14ac:dyDescent="0.2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 x14ac:dyDescent="0.2">
      <c r="B5" s="20"/>
      <c r="D5" s="24" t="s">
        <v>13</v>
      </c>
      <c r="K5" s="316" t="s">
        <v>14</v>
      </c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R5" s="20"/>
      <c r="BE5" s="313" t="s">
        <v>15</v>
      </c>
      <c r="BS5" s="17" t="s">
        <v>6</v>
      </c>
    </row>
    <row r="6" spans="1:74" ht="36.950000000000003" customHeight="1" x14ac:dyDescent="0.2">
      <c r="B6" s="20"/>
      <c r="D6" s="26" t="s">
        <v>16</v>
      </c>
      <c r="K6" s="317" t="s">
        <v>442</v>
      </c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R6" s="20"/>
      <c r="BE6" s="314"/>
      <c r="BS6" s="17" t="s">
        <v>6</v>
      </c>
    </row>
    <row r="7" spans="1:74" ht="12" customHeight="1" x14ac:dyDescent="0.2">
      <c r="B7" s="20"/>
      <c r="D7" s="27" t="s">
        <v>17</v>
      </c>
      <c r="K7" s="25" t="s">
        <v>18</v>
      </c>
      <c r="AK7" s="27" t="s">
        <v>19</v>
      </c>
      <c r="AN7" s="25" t="s">
        <v>18</v>
      </c>
      <c r="AR7" s="20"/>
      <c r="BE7" s="314"/>
      <c r="BS7" s="17" t="s">
        <v>6</v>
      </c>
    </row>
    <row r="8" spans="1:74" ht="12" customHeight="1" x14ac:dyDescent="0.2">
      <c r="B8" s="20"/>
      <c r="D8" s="27" t="s">
        <v>20</v>
      </c>
      <c r="K8" s="25" t="s">
        <v>21</v>
      </c>
      <c r="AK8" s="27" t="s">
        <v>22</v>
      </c>
      <c r="AN8" s="28"/>
      <c r="AR8" s="20"/>
      <c r="BE8" s="314"/>
      <c r="BS8" s="17" t="s">
        <v>6</v>
      </c>
    </row>
    <row r="9" spans="1:74" ht="14.45" customHeight="1" x14ac:dyDescent="0.2">
      <c r="B9" s="20"/>
      <c r="AR9" s="20"/>
      <c r="BE9" s="314"/>
      <c r="BS9" s="17" t="s">
        <v>6</v>
      </c>
    </row>
    <row r="10" spans="1:74" ht="12" customHeight="1" x14ac:dyDescent="0.2">
      <c r="B10" s="20"/>
      <c r="D10" s="27" t="s">
        <v>23</v>
      </c>
      <c r="AK10" s="27" t="s">
        <v>24</v>
      </c>
      <c r="AN10" s="25" t="s">
        <v>18</v>
      </c>
      <c r="AR10" s="20"/>
      <c r="BE10" s="314"/>
      <c r="BS10" s="17" t="s">
        <v>6</v>
      </c>
    </row>
    <row r="11" spans="1:74" ht="18.399999999999999" customHeight="1" x14ac:dyDescent="0.2">
      <c r="B11" s="20"/>
      <c r="E11" s="25" t="s">
        <v>21</v>
      </c>
      <c r="AK11" s="27" t="s">
        <v>25</v>
      </c>
      <c r="AN11" s="25" t="s">
        <v>18</v>
      </c>
      <c r="AR11" s="20"/>
      <c r="BE11" s="314"/>
      <c r="BS11" s="17" t="s">
        <v>6</v>
      </c>
    </row>
    <row r="12" spans="1:74" ht="6.95" customHeight="1" x14ac:dyDescent="0.2">
      <c r="B12" s="20"/>
      <c r="AR12" s="20"/>
      <c r="BE12" s="314"/>
      <c r="BS12" s="17" t="s">
        <v>6</v>
      </c>
    </row>
    <row r="13" spans="1:74" ht="12" customHeight="1" x14ac:dyDescent="0.2">
      <c r="B13" s="20"/>
      <c r="D13" s="27" t="s">
        <v>26</v>
      </c>
      <c r="AK13" s="27" t="s">
        <v>24</v>
      </c>
      <c r="AN13" s="29" t="s">
        <v>27</v>
      </c>
      <c r="AR13" s="20"/>
      <c r="BE13" s="314"/>
      <c r="BS13" s="17" t="s">
        <v>6</v>
      </c>
    </row>
    <row r="14" spans="1:74" ht="12.75" x14ac:dyDescent="0.2">
      <c r="B14" s="20"/>
      <c r="E14" s="318" t="s">
        <v>27</v>
      </c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27" t="s">
        <v>25</v>
      </c>
      <c r="AN14" s="29" t="s">
        <v>27</v>
      </c>
      <c r="AR14" s="20"/>
      <c r="BE14" s="314"/>
      <c r="BS14" s="17" t="s">
        <v>6</v>
      </c>
    </row>
    <row r="15" spans="1:74" ht="6.95" customHeight="1" x14ac:dyDescent="0.2">
      <c r="B15" s="20"/>
      <c r="AR15" s="20"/>
      <c r="BE15" s="314"/>
      <c r="BS15" s="17" t="s">
        <v>4</v>
      </c>
    </row>
    <row r="16" spans="1:74" ht="12" customHeight="1" x14ac:dyDescent="0.2">
      <c r="B16" s="20"/>
      <c r="D16" s="27" t="s">
        <v>28</v>
      </c>
      <c r="AK16" s="27" t="s">
        <v>24</v>
      </c>
      <c r="AN16" s="25" t="s">
        <v>18</v>
      </c>
      <c r="AR16" s="20"/>
      <c r="BE16" s="314"/>
      <c r="BS16" s="17" t="s">
        <v>4</v>
      </c>
    </row>
    <row r="17" spans="2:71" ht="18.399999999999999" customHeight="1" x14ac:dyDescent="0.2">
      <c r="B17" s="20"/>
      <c r="E17" s="25" t="s">
        <v>21</v>
      </c>
      <c r="AK17" s="27" t="s">
        <v>25</v>
      </c>
      <c r="AN17" s="25" t="s">
        <v>18</v>
      </c>
      <c r="AR17" s="20"/>
      <c r="BE17" s="314"/>
      <c r="BS17" s="17" t="s">
        <v>29</v>
      </c>
    </row>
    <row r="18" spans="2:71" ht="6.95" customHeight="1" x14ac:dyDescent="0.2">
      <c r="B18" s="20"/>
      <c r="AR18" s="20"/>
      <c r="BE18" s="314"/>
      <c r="BS18" s="17" t="s">
        <v>6</v>
      </c>
    </row>
    <row r="19" spans="2:71" ht="12" customHeight="1" x14ac:dyDescent="0.2">
      <c r="B19" s="20"/>
      <c r="D19" s="27" t="s">
        <v>30</v>
      </c>
      <c r="AK19" s="27" t="s">
        <v>24</v>
      </c>
      <c r="AN19" s="25" t="s">
        <v>18</v>
      </c>
      <c r="AR19" s="20"/>
      <c r="BE19" s="314"/>
      <c r="BS19" s="17" t="s">
        <v>6</v>
      </c>
    </row>
    <row r="20" spans="2:71" ht="18.399999999999999" customHeight="1" x14ac:dyDescent="0.2">
      <c r="B20" s="20"/>
      <c r="E20" s="25" t="s">
        <v>21</v>
      </c>
      <c r="AK20" s="27" t="s">
        <v>25</v>
      </c>
      <c r="AN20" s="25" t="s">
        <v>18</v>
      </c>
      <c r="AR20" s="20"/>
      <c r="BE20" s="314"/>
      <c r="BS20" s="17" t="s">
        <v>4</v>
      </c>
    </row>
    <row r="21" spans="2:71" ht="6.95" customHeight="1" x14ac:dyDescent="0.2">
      <c r="B21" s="20"/>
      <c r="AR21" s="20"/>
      <c r="BE21" s="314"/>
    </row>
    <row r="22" spans="2:71" ht="12" customHeight="1" x14ac:dyDescent="0.2">
      <c r="B22" s="20"/>
      <c r="D22" s="27" t="s">
        <v>31</v>
      </c>
      <c r="AR22" s="20"/>
      <c r="BE22" s="314"/>
    </row>
    <row r="23" spans="2:71" ht="47.25" customHeight="1" x14ac:dyDescent="0.2">
      <c r="B23" s="20"/>
      <c r="E23" s="320" t="s">
        <v>32</v>
      </c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R23" s="20"/>
      <c r="BE23" s="314"/>
    </row>
    <row r="24" spans="2:71" ht="6.95" customHeight="1" x14ac:dyDescent="0.2">
      <c r="B24" s="20"/>
      <c r="AR24" s="20"/>
      <c r="BE24" s="314"/>
    </row>
    <row r="25" spans="2:71" ht="6.95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314"/>
    </row>
    <row r="26" spans="2:71" s="1" customFormat="1" ht="25.9" customHeight="1" x14ac:dyDescent="0.2">
      <c r="B26" s="32"/>
      <c r="D26" s="33" t="s">
        <v>33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21">
        <f>ROUND(AG54,2)</f>
        <v>0</v>
      </c>
      <c r="AL26" s="322"/>
      <c r="AM26" s="322"/>
      <c r="AN26" s="322"/>
      <c r="AO26" s="322"/>
      <c r="AR26" s="32"/>
      <c r="BE26" s="314"/>
    </row>
    <row r="27" spans="2:71" s="1" customFormat="1" ht="6.95" customHeight="1" x14ac:dyDescent="0.2">
      <c r="B27" s="32"/>
      <c r="AR27" s="32"/>
      <c r="BE27" s="314"/>
    </row>
    <row r="28" spans="2:71" s="1" customFormat="1" ht="12.75" x14ac:dyDescent="0.2">
      <c r="B28" s="32"/>
      <c r="L28" s="323" t="s">
        <v>34</v>
      </c>
      <c r="M28" s="323"/>
      <c r="N28" s="323"/>
      <c r="O28" s="323"/>
      <c r="P28" s="323"/>
      <c r="W28" s="323" t="s">
        <v>35</v>
      </c>
      <c r="X28" s="323"/>
      <c r="Y28" s="323"/>
      <c r="Z28" s="323"/>
      <c r="AA28" s="323"/>
      <c r="AB28" s="323"/>
      <c r="AC28" s="323"/>
      <c r="AD28" s="323"/>
      <c r="AE28" s="323"/>
      <c r="AK28" s="323" t="s">
        <v>36</v>
      </c>
      <c r="AL28" s="323"/>
      <c r="AM28" s="323"/>
      <c r="AN28" s="323"/>
      <c r="AO28" s="323"/>
      <c r="AR28" s="32"/>
      <c r="BE28" s="314"/>
    </row>
    <row r="29" spans="2:71" s="2" customFormat="1" ht="14.45" customHeight="1" x14ac:dyDescent="0.2">
      <c r="B29" s="36"/>
      <c r="D29" s="27" t="s">
        <v>37</v>
      </c>
      <c r="F29" s="27" t="s">
        <v>38</v>
      </c>
      <c r="L29" s="308">
        <v>0.21</v>
      </c>
      <c r="M29" s="307"/>
      <c r="N29" s="307"/>
      <c r="O29" s="307"/>
      <c r="P29" s="307"/>
      <c r="W29" s="306">
        <f>AK26</f>
        <v>0</v>
      </c>
      <c r="X29" s="307"/>
      <c r="Y29" s="307"/>
      <c r="Z29" s="307"/>
      <c r="AA29" s="307"/>
      <c r="AB29" s="307"/>
      <c r="AC29" s="307"/>
      <c r="AD29" s="307"/>
      <c r="AE29" s="307"/>
      <c r="AK29" s="306">
        <f>AK26*0.21</f>
        <v>0</v>
      </c>
      <c r="AL29" s="307"/>
      <c r="AM29" s="307"/>
      <c r="AN29" s="307"/>
      <c r="AO29" s="307"/>
      <c r="AR29" s="36"/>
      <c r="BE29" s="315"/>
    </row>
    <row r="30" spans="2:71" s="2" customFormat="1" ht="14.45" customHeight="1" x14ac:dyDescent="0.2">
      <c r="B30" s="36"/>
      <c r="F30" s="27" t="s">
        <v>39</v>
      </c>
      <c r="L30" s="308">
        <v>0.15</v>
      </c>
      <c r="M30" s="307"/>
      <c r="N30" s="307"/>
      <c r="O30" s="307"/>
      <c r="P30" s="307"/>
      <c r="W30" s="306">
        <f>ROUND(BA54, 2)</f>
        <v>0</v>
      </c>
      <c r="X30" s="307"/>
      <c r="Y30" s="307"/>
      <c r="Z30" s="307"/>
      <c r="AA30" s="307"/>
      <c r="AB30" s="307"/>
      <c r="AC30" s="307"/>
      <c r="AD30" s="307"/>
      <c r="AE30" s="307"/>
      <c r="AK30" s="306">
        <f>ROUND(AW54, 2)</f>
        <v>0</v>
      </c>
      <c r="AL30" s="307"/>
      <c r="AM30" s="307"/>
      <c r="AN30" s="307"/>
      <c r="AO30" s="307"/>
      <c r="AR30" s="36"/>
      <c r="BE30" s="315"/>
    </row>
    <row r="31" spans="2:71" s="2" customFormat="1" ht="14.45" hidden="1" customHeight="1" x14ac:dyDescent="0.2">
      <c r="B31" s="36"/>
      <c r="F31" s="27" t="s">
        <v>40</v>
      </c>
      <c r="L31" s="308">
        <v>0.21</v>
      </c>
      <c r="M31" s="307"/>
      <c r="N31" s="307"/>
      <c r="O31" s="307"/>
      <c r="P31" s="307"/>
      <c r="W31" s="306">
        <f>ROUND(BB54, 2)</f>
        <v>0</v>
      </c>
      <c r="X31" s="307"/>
      <c r="Y31" s="307"/>
      <c r="Z31" s="307"/>
      <c r="AA31" s="307"/>
      <c r="AB31" s="307"/>
      <c r="AC31" s="307"/>
      <c r="AD31" s="307"/>
      <c r="AE31" s="307"/>
      <c r="AK31" s="306">
        <v>0</v>
      </c>
      <c r="AL31" s="307"/>
      <c r="AM31" s="307"/>
      <c r="AN31" s="307"/>
      <c r="AO31" s="307"/>
      <c r="AR31" s="36"/>
      <c r="BE31" s="315"/>
    </row>
    <row r="32" spans="2:71" s="2" customFormat="1" ht="14.45" hidden="1" customHeight="1" x14ac:dyDescent="0.2">
      <c r="B32" s="36"/>
      <c r="F32" s="27" t="s">
        <v>41</v>
      </c>
      <c r="L32" s="308">
        <v>0.15</v>
      </c>
      <c r="M32" s="307"/>
      <c r="N32" s="307"/>
      <c r="O32" s="307"/>
      <c r="P32" s="307"/>
      <c r="W32" s="306">
        <f>ROUND(BC54, 2)</f>
        <v>0</v>
      </c>
      <c r="X32" s="307"/>
      <c r="Y32" s="307"/>
      <c r="Z32" s="307"/>
      <c r="AA32" s="307"/>
      <c r="AB32" s="307"/>
      <c r="AC32" s="307"/>
      <c r="AD32" s="307"/>
      <c r="AE32" s="307"/>
      <c r="AK32" s="306">
        <v>0</v>
      </c>
      <c r="AL32" s="307"/>
      <c r="AM32" s="307"/>
      <c r="AN32" s="307"/>
      <c r="AO32" s="307"/>
      <c r="AR32" s="36"/>
      <c r="BE32" s="315"/>
    </row>
    <row r="33" spans="2:44" s="2" customFormat="1" ht="14.45" hidden="1" customHeight="1" x14ac:dyDescent="0.2">
      <c r="B33" s="36"/>
      <c r="F33" s="27" t="s">
        <v>42</v>
      </c>
      <c r="L33" s="308">
        <v>0</v>
      </c>
      <c r="M33" s="307"/>
      <c r="N33" s="307"/>
      <c r="O33" s="307"/>
      <c r="P33" s="307"/>
      <c r="W33" s="306">
        <f>ROUND(BD54, 2)</f>
        <v>0</v>
      </c>
      <c r="X33" s="307"/>
      <c r="Y33" s="307"/>
      <c r="Z33" s="307"/>
      <c r="AA33" s="307"/>
      <c r="AB33" s="307"/>
      <c r="AC33" s="307"/>
      <c r="AD33" s="307"/>
      <c r="AE33" s="307"/>
      <c r="AK33" s="306">
        <v>0</v>
      </c>
      <c r="AL33" s="307"/>
      <c r="AM33" s="307"/>
      <c r="AN33" s="307"/>
      <c r="AO33" s="307"/>
      <c r="AR33" s="36"/>
    </row>
    <row r="34" spans="2:44" s="1" customFormat="1" ht="6.95" customHeight="1" x14ac:dyDescent="0.2">
      <c r="B34" s="32"/>
      <c r="AR34" s="32"/>
    </row>
    <row r="35" spans="2:44" s="1" customFormat="1" ht="25.9" customHeight="1" x14ac:dyDescent="0.2">
      <c r="B35" s="32"/>
      <c r="C35" s="37"/>
      <c r="D35" s="38" t="s">
        <v>43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44</v>
      </c>
      <c r="U35" s="39"/>
      <c r="V35" s="39"/>
      <c r="W35" s="39"/>
      <c r="X35" s="309" t="s">
        <v>45</v>
      </c>
      <c r="Y35" s="310"/>
      <c r="Z35" s="310"/>
      <c r="AA35" s="310"/>
      <c r="AB35" s="310"/>
      <c r="AC35" s="39"/>
      <c r="AD35" s="39"/>
      <c r="AE35" s="39"/>
      <c r="AF35" s="39"/>
      <c r="AG35" s="39"/>
      <c r="AH35" s="39"/>
      <c r="AI35" s="39"/>
      <c r="AJ35" s="39"/>
      <c r="AK35" s="311">
        <f>SUM(AK26:AK33)</f>
        <v>0</v>
      </c>
      <c r="AL35" s="310"/>
      <c r="AM35" s="310"/>
      <c r="AN35" s="310"/>
      <c r="AO35" s="312"/>
      <c r="AP35" s="37"/>
      <c r="AQ35" s="37"/>
      <c r="AR35" s="32"/>
    </row>
    <row r="36" spans="2:44" s="1" customFormat="1" ht="6.95" customHeight="1" x14ac:dyDescent="0.2">
      <c r="B36" s="32"/>
      <c r="AR36" s="32"/>
    </row>
    <row r="37" spans="2:44" s="1" customFormat="1" ht="6.95" customHeight="1" x14ac:dyDescent="0.2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 x14ac:dyDescent="0.2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 x14ac:dyDescent="0.2">
      <c r="B42" s="32"/>
      <c r="C42" s="21" t="s">
        <v>46</v>
      </c>
      <c r="AR42" s="32"/>
    </row>
    <row r="43" spans="2:44" s="1" customFormat="1" ht="6.95" customHeight="1" x14ac:dyDescent="0.2">
      <c r="B43" s="32"/>
      <c r="AR43" s="32"/>
    </row>
    <row r="44" spans="2:44" s="3" customFormat="1" ht="12" customHeight="1" x14ac:dyDescent="0.2">
      <c r="B44" s="45"/>
      <c r="C44" s="27" t="s">
        <v>13</v>
      </c>
      <c r="L44" s="3" t="str">
        <f>K5</f>
        <v>202313</v>
      </c>
      <c r="AR44" s="45"/>
    </row>
    <row r="45" spans="2:44" s="4" customFormat="1" ht="36.950000000000003" customHeight="1" x14ac:dyDescent="0.2">
      <c r="B45" s="46"/>
      <c r="C45" s="47" t="s">
        <v>16</v>
      </c>
      <c r="L45" s="297" t="str">
        <f>K6</f>
        <v>Dětské hřiště, Praha 20, ul. Běluňská</v>
      </c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R45" s="46"/>
    </row>
    <row r="46" spans="2:44" s="1" customFormat="1" ht="6.95" customHeight="1" x14ac:dyDescent="0.2">
      <c r="B46" s="32"/>
      <c r="AR46" s="32"/>
    </row>
    <row r="47" spans="2:44" s="1" customFormat="1" ht="12" customHeight="1" x14ac:dyDescent="0.2">
      <c r="B47" s="32"/>
      <c r="C47" s="27" t="s">
        <v>20</v>
      </c>
      <c r="L47" s="48" t="str">
        <f>IF(K8="","",K8)</f>
        <v xml:space="preserve"> </v>
      </c>
      <c r="AI47" s="27" t="s">
        <v>22</v>
      </c>
      <c r="AM47" s="299" t="str">
        <f>IF(AN8= "","",AN8)</f>
        <v/>
      </c>
      <c r="AN47" s="299"/>
      <c r="AR47" s="32"/>
    </row>
    <row r="48" spans="2:44" s="1" customFormat="1" ht="6.95" customHeight="1" x14ac:dyDescent="0.2">
      <c r="B48" s="32"/>
      <c r="AR48" s="32"/>
    </row>
    <row r="49" spans="1:91" s="1" customFormat="1" ht="15.2" customHeight="1" x14ac:dyDescent="0.2">
      <c r="B49" s="32"/>
      <c r="C49" s="27" t="s">
        <v>23</v>
      </c>
      <c r="L49" s="3" t="str">
        <f>IF(E11= "","",E11)</f>
        <v xml:space="preserve"> </v>
      </c>
      <c r="AI49" s="27" t="s">
        <v>28</v>
      </c>
      <c r="AM49" s="300" t="str">
        <f>IF(E17="","",E17)</f>
        <v xml:space="preserve"> </v>
      </c>
      <c r="AN49" s="301"/>
      <c r="AO49" s="301"/>
      <c r="AP49" s="301"/>
      <c r="AR49" s="32"/>
      <c r="AS49" s="302" t="s">
        <v>47</v>
      </c>
      <c r="AT49" s="303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 x14ac:dyDescent="0.2">
      <c r="B50" s="32"/>
      <c r="C50" s="27" t="s">
        <v>26</v>
      </c>
      <c r="L50" s="3" t="str">
        <f>IF(E14= "Vyplň údaj","",E14)</f>
        <v/>
      </c>
      <c r="AI50" s="27" t="s">
        <v>30</v>
      </c>
      <c r="AM50" s="300" t="str">
        <f>IF(E20="","",E20)</f>
        <v xml:space="preserve"> </v>
      </c>
      <c r="AN50" s="301"/>
      <c r="AO50" s="301"/>
      <c r="AP50" s="301"/>
      <c r="AR50" s="32"/>
      <c r="AS50" s="304"/>
      <c r="AT50" s="305"/>
      <c r="BD50" s="53"/>
    </row>
    <row r="51" spans="1:91" s="1" customFormat="1" ht="10.9" customHeight="1" x14ac:dyDescent="0.2">
      <c r="B51" s="32"/>
      <c r="AR51" s="32"/>
      <c r="AS51" s="304"/>
      <c r="AT51" s="305"/>
      <c r="BD51" s="53"/>
    </row>
    <row r="52" spans="1:91" s="1" customFormat="1" ht="29.25" customHeight="1" x14ac:dyDescent="0.2">
      <c r="B52" s="32"/>
      <c r="C52" s="293" t="s">
        <v>48</v>
      </c>
      <c r="D52" s="294"/>
      <c r="E52" s="294"/>
      <c r="F52" s="294"/>
      <c r="G52" s="294"/>
      <c r="H52" s="54"/>
      <c r="I52" s="295" t="s">
        <v>49</v>
      </c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6" t="s">
        <v>50</v>
      </c>
      <c r="AH52" s="294"/>
      <c r="AI52" s="294"/>
      <c r="AJ52" s="294"/>
      <c r="AK52" s="294"/>
      <c r="AL52" s="294"/>
      <c r="AM52" s="294"/>
      <c r="AN52" s="295" t="s">
        <v>51</v>
      </c>
      <c r="AO52" s="294"/>
      <c r="AP52" s="294"/>
      <c r="AQ52" s="55" t="s">
        <v>52</v>
      </c>
      <c r="AR52" s="32"/>
      <c r="AS52" s="56" t="s">
        <v>53</v>
      </c>
      <c r="AT52" s="57" t="s">
        <v>54</v>
      </c>
      <c r="AU52" s="57" t="s">
        <v>55</v>
      </c>
      <c r="AV52" s="57" t="s">
        <v>56</v>
      </c>
      <c r="AW52" s="57" t="s">
        <v>57</v>
      </c>
      <c r="AX52" s="57" t="s">
        <v>58</v>
      </c>
      <c r="AY52" s="57" t="s">
        <v>59</v>
      </c>
      <c r="AZ52" s="57" t="s">
        <v>60</v>
      </c>
      <c r="BA52" s="57" t="s">
        <v>61</v>
      </c>
      <c r="BB52" s="57" t="s">
        <v>62</v>
      </c>
      <c r="BC52" s="57" t="s">
        <v>63</v>
      </c>
      <c r="BD52" s="58" t="s">
        <v>64</v>
      </c>
    </row>
    <row r="53" spans="1:91" s="1" customFormat="1" ht="10.9" customHeight="1" x14ac:dyDescent="0.2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 x14ac:dyDescent="0.2">
      <c r="B54" s="60"/>
      <c r="C54" s="61" t="s">
        <v>65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91">
        <f>ROUND(SUM(AG55:AG56),2)</f>
        <v>0</v>
      </c>
      <c r="AH54" s="291"/>
      <c r="AI54" s="291"/>
      <c r="AJ54" s="291"/>
      <c r="AK54" s="291"/>
      <c r="AL54" s="291"/>
      <c r="AM54" s="291"/>
      <c r="AN54" s="292">
        <f>SUM(AG54,AT54)</f>
        <v>0</v>
      </c>
      <c r="AO54" s="292"/>
      <c r="AP54" s="292"/>
      <c r="AQ54" s="64" t="s">
        <v>18</v>
      </c>
      <c r="AR54" s="60"/>
      <c r="AS54" s="65">
        <f>ROUND(SUM(AS55:AS56),2)</f>
        <v>0</v>
      </c>
      <c r="AT54" s="66">
        <f>ROUND(SUM(AV54:AW54),2)</f>
        <v>0</v>
      </c>
      <c r="AU54" s="67" t="e">
        <f>ROUND(SUM(AU55:AU56),5)</f>
        <v>#REF!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ROUND(SUM(AZ55:AZ56),2)</f>
        <v>0</v>
      </c>
      <c r="BA54" s="66">
        <f>ROUND(SUM(BA55:BA56),2)</f>
        <v>0</v>
      </c>
      <c r="BB54" s="66">
        <f>ROUND(SUM(BB55:BB56),2)</f>
        <v>0</v>
      </c>
      <c r="BC54" s="66">
        <f>ROUND(SUM(BC55:BC56),2)</f>
        <v>0</v>
      </c>
      <c r="BD54" s="68">
        <f>ROUND(SUM(BD55:BD56),2)</f>
        <v>0</v>
      </c>
      <c r="BS54" s="69" t="s">
        <v>66</v>
      </c>
      <c r="BT54" s="69" t="s">
        <v>67</v>
      </c>
      <c r="BU54" s="70" t="s">
        <v>68</v>
      </c>
      <c r="BV54" s="69" t="s">
        <v>69</v>
      </c>
      <c r="BW54" s="69" t="s">
        <v>5</v>
      </c>
      <c r="BX54" s="69" t="s">
        <v>70</v>
      </c>
      <c r="CL54" s="69" t="s">
        <v>18</v>
      </c>
    </row>
    <row r="55" spans="1:91" s="6" customFormat="1" ht="16.5" customHeight="1" x14ac:dyDescent="0.2">
      <c r="A55" s="71" t="s">
        <v>71</v>
      </c>
      <c r="B55" s="72"/>
      <c r="C55" s="73"/>
      <c r="D55" s="290" t="s">
        <v>72</v>
      </c>
      <c r="E55" s="290"/>
      <c r="F55" s="290"/>
      <c r="G55" s="290"/>
      <c r="H55" s="290"/>
      <c r="I55" s="74"/>
      <c r="J55" s="290" t="s">
        <v>73</v>
      </c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88">
        <f>'01 - Stavební část'!J30</f>
        <v>0</v>
      </c>
      <c r="AH55" s="289"/>
      <c r="AI55" s="289"/>
      <c r="AJ55" s="289"/>
      <c r="AK55" s="289"/>
      <c r="AL55" s="289"/>
      <c r="AM55" s="289"/>
      <c r="AN55" s="288">
        <f>AG55*1.21</f>
        <v>0</v>
      </c>
      <c r="AO55" s="289"/>
      <c r="AP55" s="289"/>
      <c r="AQ55" s="75" t="s">
        <v>74</v>
      </c>
      <c r="AR55" s="72"/>
      <c r="AS55" s="76">
        <v>0</v>
      </c>
      <c r="AT55" s="77">
        <f>ROUND(SUM(AV55:AW55),2)</f>
        <v>0</v>
      </c>
      <c r="AU55" s="78" t="e">
        <f>'01 - Stavební část'!P86</f>
        <v>#REF!</v>
      </c>
      <c r="AV55" s="77">
        <f>'01 - Stavební část'!J33</f>
        <v>0</v>
      </c>
      <c r="AW55" s="77">
        <f>'01 - Stavební část'!J34</f>
        <v>0</v>
      </c>
      <c r="AX55" s="77">
        <f>'01 - Stavební část'!J35</f>
        <v>0</v>
      </c>
      <c r="AY55" s="77">
        <f>'01 - Stavební část'!J36</f>
        <v>0</v>
      </c>
      <c r="AZ55" s="77">
        <f>'01 - Stavební část'!F33</f>
        <v>0</v>
      </c>
      <c r="BA55" s="77">
        <f>'01 - Stavební část'!F34</f>
        <v>0</v>
      </c>
      <c r="BB55" s="77">
        <f>'01 - Stavební část'!F35</f>
        <v>0</v>
      </c>
      <c r="BC55" s="77">
        <f>'01 - Stavební část'!F36</f>
        <v>0</v>
      </c>
      <c r="BD55" s="79">
        <f>'01 - Stavební část'!F37</f>
        <v>0</v>
      </c>
      <c r="BT55" s="80" t="s">
        <v>75</v>
      </c>
      <c r="BV55" s="80" t="s">
        <v>69</v>
      </c>
      <c r="BW55" s="80" t="s">
        <v>76</v>
      </c>
      <c r="BX55" s="80" t="s">
        <v>5</v>
      </c>
      <c r="CL55" s="80" t="s">
        <v>18</v>
      </c>
      <c r="CM55" s="80" t="s">
        <v>77</v>
      </c>
    </row>
    <row r="56" spans="1:91" s="6" customFormat="1" ht="16.5" customHeight="1" x14ac:dyDescent="0.2">
      <c r="A56" s="71" t="s">
        <v>71</v>
      </c>
      <c r="B56" s="72"/>
      <c r="C56" s="73"/>
      <c r="D56" s="290" t="s">
        <v>78</v>
      </c>
      <c r="E56" s="290"/>
      <c r="F56" s="290"/>
      <c r="G56" s="290"/>
      <c r="H56" s="290"/>
      <c r="I56" s="74"/>
      <c r="J56" s="290" t="s">
        <v>79</v>
      </c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88">
        <f>'02 - VRN'!J30</f>
        <v>0</v>
      </c>
      <c r="AH56" s="289"/>
      <c r="AI56" s="289"/>
      <c r="AJ56" s="289"/>
      <c r="AK56" s="289"/>
      <c r="AL56" s="289"/>
      <c r="AM56" s="289"/>
      <c r="AN56" s="288">
        <f>SUM(AG56,AT56)</f>
        <v>0</v>
      </c>
      <c r="AO56" s="289"/>
      <c r="AP56" s="289"/>
      <c r="AQ56" s="75" t="s">
        <v>74</v>
      </c>
      <c r="AR56" s="72"/>
      <c r="AS56" s="81">
        <v>0</v>
      </c>
      <c r="AT56" s="82">
        <f>ROUND(SUM(AV56:AW56),2)</f>
        <v>0</v>
      </c>
      <c r="AU56" s="83">
        <f>'02 - VRN'!P81</f>
        <v>0</v>
      </c>
      <c r="AV56" s="82">
        <f>'02 - VRN'!J33</f>
        <v>0</v>
      </c>
      <c r="AW56" s="82">
        <f>'02 - VRN'!J34</f>
        <v>0</v>
      </c>
      <c r="AX56" s="82">
        <f>'02 - VRN'!J35</f>
        <v>0</v>
      </c>
      <c r="AY56" s="82">
        <f>'02 - VRN'!J36</f>
        <v>0</v>
      </c>
      <c r="AZ56" s="82">
        <f>'02 - VRN'!F33</f>
        <v>0</v>
      </c>
      <c r="BA56" s="82">
        <f>'02 - VRN'!F34</f>
        <v>0</v>
      </c>
      <c r="BB56" s="82">
        <f>'02 - VRN'!F35</f>
        <v>0</v>
      </c>
      <c r="BC56" s="82">
        <f>'02 - VRN'!F36</f>
        <v>0</v>
      </c>
      <c r="BD56" s="84">
        <f>'02 - VRN'!F37</f>
        <v>0</v>
      </c>
      <c r="BT56" s="80" t="s">
        <v>75</v>
      </c>
      <c r="BV56" s="80" t="s">
        <v>69</v>
      </c>
      <c r="BW56" s="80" t="s">
        <v>80</v>
      </c>
      <c r="BX56" s="80" t="s">
        <v>5</v>
      </c>
      <c r="CL56" s="80" t="s">
        <v>18</v>
      </c>
      <c r="CM56" s="80" t="s">
        <v>77</v>
      </c>
    </row>
    <row r="57" spans="1:91" s="1" customFormat="1" ht="30" customHeight="1" x14ac:dyDescent="0.2">
      <c r="B57" s="32"/>
      <c r="AR57" s="32"/>
    </row>
    <row r="58" spans="1:91" s="1" customFormat="1" ht="6.95" customHeight="1" x14ac:dyDescent="0.2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32"/>
    </row>
  </sheetData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47:AN47"/>
    <mergeCell ref="AM49:AP49"/>
    <mergeCell ref="AS49:AT51"/>
    <mergeCell ref="AM50:AP50"/>
    <mergeCell ref="W33:AE33"/>
    <mergeCell ref="AK33:AO33"/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</mergeCells>
  <hyperlinks>
    <hyperlink ref="A55" location="'01 - Stavební část'!C2" display="/" xr:uid="{00000000-0004-0000-0000-000000000000}"/>
    <hyperlink ref="A56" location="'02 - VRN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29"/>
  <sheetViews>
    <sheetView showGridLines="0" topLeftCell="A299" zoomScale="90" zoomScaleNormal="90" workbookViewId="0">
      <selection activeCell="F164" sqref="F164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5" customWidth="1"/>
    <col min="5" max="5" width="17.1640625" customWidth="1"/>
    <col min="6" max="6" width="123.83203125" customWidth="1"/>
    <col min="7" max="7" width="10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7" t="s">
        <v>76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77</v>
      </c>
    </row>
    <row r="4" spans="2:46" ht="24.95" customHeight="1" x14ac:dyDescent="0.2">
      <c r="B4" s="20"/>
      <c r="D4" s="21" t="s">
        <v>81</v>
      </c>
      <c r="L4" s="20"/>
      <c r="M4" s="85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25" t="str">
        <f>'Rekapitulace stavby'!K6</f>
        <v>Dětské hřiště, Praha 20, ul. Běluňská</v>
      </c>
      <c r="F7" s="326"/>
      <c r="G7" s="326"/>
      <c r="H7" s="326"/>
      <c r="L7" s="20"/>
    </row>
    <row r="8" spans="2:46" s="1" customFormat="1" ht="12" customHeight="1" x14ac:dyDescent="0.2">
      <c r="B8" s="32"/>
      <c r="D8" s="27" t="s">
        <v>82</v>
      </c>
      <c r="L8" s="32"/>
    </row>
    <row r="9" spans="2:46" s="1" customFormat="1" ht="16.5" customHeight="1" x14ac:dyDescent="0.2">
      <c r="B9" s="32"/>
      <c r="E9" s="297" t="s">
        <v>83</v>
      </c>
      <c r="F9" s="324"/>
      <c r="G9" s="324"/>
      <c r="H9" s="324"/>
      <c r="L9" s="32"/>
    </row>
    <row r="10" spans="2:46" s="1" customFormat="1" x14ac:dyDescent="0.2">
      <c r="B10" s="32"/>
      <c r="L10" s="32"/>
    </row>
    <row r="11" spans="2:46" s="1" customFormat="1" ht="12" customHeight="1" x14ac:dyDescent="0.2">
      <c r="B11" s="32"/>
      <c r="D11" s="27" t="s">
        <v>17</v>
      </c>
      <c r="F11" s="25" t="s">
        <v>18</v>
      </c>
      <c r="I11" s="27" t="s">
        <v>19</v>
      </c>
      <c r="J11" s="25" t="s">
        <v>18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49"/>
      <c r="L12" s="32"/>
    </row>
    <row r="13" spans="2:46" s="1" customFormat="1" ht="10.9" customHeight="1" x14ac:dyDescent="0.2">
      <c r="B13" s="32"/>
      <c r="L13" s="32"/>
    </row>
    <row r="14" spans="2:46" s="1" customFormat="1" ht="12" customHeight="1" x14ac:dyDescent="0.2">
      <c r="B14" s="32"/>
      <c r="D14" s="27" t="s">
        <v>23</v>
      </c>
      <c r="I14" s="27" t="s">
        <v>24</v>
      </c>
      <c r="J14" s="25" t="str">
        <f>IF('Rekapitulace stavby'!AN10="","",'Rekapitulace stavby'!AN10)</f>
        <v/>
      </c>
      <c r="L14" s="32"/>
    </row>
    <row r="15" spans="2:46" s="1" customFormat="1" ht="18" customHeight="1" x14ac:dyDescent="0.2">
      <c r="B15" s="32"/>
      <c r="E15" s="25" t="str">
        <f>IF('Rekapitulace stavby'!E11="","",'Rekapitulace stavby'!E11)</f>
        <v xml:space="preserve"> </v>
      </c>
      <c r="I15" s="27" t="s">
        <v>25</v>
      </c>
      <c r="J15" s="25" t="str">
        <f>IF('Rekapitulace stavby'!AN11="","",'Rekapitulace stavby'!AN11)</f>
        <v/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26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327" t="str">
        <f>'Rekapitulace stavby'!E14</f>
        <v>Vyplň údaj</v>
      </c>
      <c r="F18" s="316"/>
      <c r="G18" s="316"/>
      <c r="H18" s="316"/>
      <c r="I18" s="27" t="s">
        <v>25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28</v>
      </c>
      <c r="I20" s="27" t="s">
        <v>24</v>
      </c>
      <c r="J20" s="25" t="str">
        <f>IF('Rekapitulace stavby'!AN16="","",'Rekapitulace stavby'!AN16)</f>
        <v/>
      </c>
      <c r="L20" s="32"/>
    </row>
    <row r="21" spans="2:12" s="1" customFormat="1" ht="18" customHeight="1" x14ac:dyDescent="0.2">
      <c r="B21" s="32"/>
      <c r="E21" s="25" t="str">
        <f>IF('Rekapitulace stavby'!E17="","",'Rekapitulace stavby'!E17)</f>
        <v xml:space="preserve"> </v>
      </c>
      <c r="I21" s="27" t="s">
        <v>25</v>
      </c>
      <c r="J21" s="25" t="str">
        <f>IF('Rekapitulace stavby'!AN17="","",'Rekapitulace stavby'!AN17)</f>
        <v/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30</v>
      </c>
      <c r="I23" s="27" t="s">
        <v>24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25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31</v>
      </c>
      <c r="L26" s="32"/>
    </row>
    <row r="27" spans="2:12" s="7" customFormat="1" ht="16.5" customHeight="1" x14ac:dyDescent="0.2">
      <c r="B27" s="86"/>
      <c r="E27" s="320" t="s">
        <v>18</v>
      </c>
      <c r="F27" s="320"/>
      <c r="G27" s="320"/>
      <c r="H27" s="320"/>
      <c r="L27" s="86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 x14ac:dyDescent="0.2">
      <c r="B30" s="32"/>
      <c r="D30" s="87" t="s">
        <v>33</v>
      </c>
      <c r="J30" s="63">
        <f>ROUND(J86, 2)</f>
        <v>0</v>
      </c>
      <c r="L30" s="32"/>
    </row>
    <row r="31" spans="2:12" s="1" customFormat="1" ht="6.95" customHeight="1" x14ac:dyDescent="0.2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 x14ac:dyDescent="0.2">
      <c r="B32" s="32"/>
      <c r="F32" s="35" t="s">
        <v>35</v>
      </c>
      <c r="I32" s="35" t="s">
        <v>34</v>
      </c>
      <c r="J32" s="35" t="s">
        <v>36</v>
      </c>
      <c r="L32" s="32"/>
    </row>
    <row r="33" spans="2:12" s="1" customFormat="1" ht="14.45" customHeight="1" x14ac:dyDescent="0.2">
      <c r="B33" s="32"/>
      <c r="D33" s="52" t="s">
        <v>37</v>
      </c>
      <c r="E33" s="27" t="s">
        <v>38</v>
      </c>
      <c r="F33" s="88">
        <f>J30</f>
        <v>0</v>
      </c>
      <c r="I33" s="89">
        <v>0.21</v>
      </c>
      <c r="J33" s="88">
        <f>F33*0.21</f>
        <v>0</v>
      </c>
      <c r="L33" s="32"/>
    </row>
    <row r="34" spans="2:12" s="1" customFormat="1" ht="14.45" customHeight="1" x14ac:dyDescent="0.2">
      <c r="B34" s="32"/>
      <c r="E34" s="27" t="s">
        <v>39</v>
      </c>
      <c r="F34" s="88">
        <f>ROUND((SUM(BF86:BF328)),  2)</f>
        <v>0</v>
      </c>
      <c r="I34" s="89">
        <v>0.15</v>
      </c>
      <c r="J34" s="88">
        <f>ROUND(((SUM(BF86:BF328))*I34),  2)</f>
        <v>0</v>
      </c>
      <c r="L34" s="32"/>
    </row>
    <row r="35" spans="2:12" s="1" customFormat="1" ht="14.45" hidden="1" customHeight="1" x14ac:dyDescent="0.2">
      <c r="B35" s="32"/>
      <c r="E35" s="27" t="s">
        <v>40</v>
      </c>
      <c r="F35" s="88">
        <f>ROUND((SUM(BG86:BG328)),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 x14ac:dyDescent="0.2">
      <c r="B36" s="32"/>
      <c r="E36" s="27" t="s">
        <v>41</v>
      </c>
      <c r="F36" s="88">
        <f>ROUND((SUM(BH86:BH328)),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 x14ac:dyDescent="0.2">
      <c r="B37" s="32"/>
      <c r="E37" s="27" t="s">
        <v>42</v>
      </c>
      <c r="F37" s="88">
        <f>ROUND((SUM(BI86:BI328)),  2)</f>
        <v>0</v>
      </c>
      <c r="I37" s="89">
        <v>0</v>
      </c>
      <c r="J37" s="88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0"/>
      <c r="D39" s="91" t="s">
        <v>43</v>
      </c>
      <c r="E39" s="54"/>
      <c r="F39" s="54"/>
      <c r="G39" s="92" t="s">
        <v>44</v>
      </c>
      <c r="H39" s="93" t="s">
        <v>45</v>
      </c>
      <c r="I39" s="54"/>
      <c r="J39" s="94">
        <f>SUM(J30:J37)</f>
        <v>0</v>
      </c>
      <c r="K39" s="95"/>
      <c r="L39" s="32"/>
    </row>
    <row r="40" spans="2:12" s="1" customFormat="1" ht="14.45" customHeight="1" x14ac:dyDescent="0.2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 x14ac:dyDescent="0.2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 x14ac:dyDescent="0.2">
      <c r="B45" s="32"/>
      <c r="C45" s="21" t="s">
        <v>84</v>
      </c>
      <c r="L45" s="32"/>
    </row>
    <row r="46" spans="2:12" s="1" customFormat="1" ht="6.95" customHeight="1" x14ac:dyDescent="0.2">
      <c r="B46" s="32"/>
      <c r="L46" s="32"/>
    </row>
    <row r="47" spans="2:12" s="1" customFormat="1" ht="12" customHeight="1" x14ac:dyDescent="0.2">
      <c r="B47" s="32"/>
      <c r="C47" s="27" t="s">
        <v>16</v>
      </c>
      <c r="L47" s="32"/>
    </row>
    <row r="48" spans="2:12" s="1" customFormat="1" ht="16.5" customHeight="1" x14ac:dyDescent="0.2">
      <c r="B48" s="32"/>
      <c r="E48" s="325" t="str">
        <f>E7</f>
        <v>Dětské hřiště, Praha 20, ul. Běluňská</v>
      </c>
      <c r="F48" s="326"/>
      <c r="G48" s="326"/>
      <c r="H48" s="326"/>
      <c r="L48" s="32"/>
    </row>
    <row r="49" spans="2:47" s="1" customFormat="1" ht="12" customHeight="1" x14ac:dyDescent="0.2">
      <c r="B49" s="32"/>
      <c r="C49" s="27" t="s">
        <v>82</v>
      </c>
      <c r="L49" s="32"/>
    </row>
    <row r="50" spans="2:47" s="1" customFormat="1" ht="16.5" customHeight="1" x14ac:dyDescent="0.2">
      <c r="B50" s="32"/>
      <c r="E50" s="297" t="str">
        <f>E9</f>
        <v>01 - Stavební část</v>
      </c>
      <c r="F50" s="324"/>
      <c r="G50" s="324"/>
      <c r="H50" s="324"/>
      <c r="L50" s="32"/>
    </row>
    <row r="51" spans="2:47" s="1" customFormat="1" ht="6.95" customHeight="1" x14ac:dyDescent="0.2">
      <c r="B51" s="32"/>
      <c r="L51" s="32"/>
    </row>
    <row r="52" spans="2:47" s="1" customFormat="1" ht="12" customHeight="1" x14ac:dyDescent="0.2">
      <c r="B52" s="32"/>
      <c r="C52" s="27" t="s">
        <v>20</v>
      </c>
      <c r="F52" s="25" t="str">
        <f>F12</f>
        <v xml:space="preserve"> </v>
      </c>
      <c r="I52" s="27" t="s">
        <v>22</v>
      </c>
      <c r="J52" s="49" t="str">
        <f>IF(J12="","",J12)</f>
        <v/>
      </c>
      <c r="L52" s="32"/>
    </row>
    <row r="53" spans="2:47" s="1" customFormat="1" ht="6.95" customHeight="1" x14ac:dyDescent="0.2">
      <c r="B53" s="32"/>
      <c r="L53" s="32"/>
    </row>
    <row r="54" spans="2:47" s="1" customFormat="1" ht="15.2" customHeight="1" x14ac:dyDescent="0.2">
      <c r="B54" s="32"/>
      <c r="C54" s="27" t="s">
        <v>23</v>
      </c>
      <c r="F54" s="25" t="str">
        <f>E15</f>
        <v xml:space="preserve"> </v>
      </c>
      <c r="I54" s="27" t="s">
        <v>28</v>
      </c>
      <c r="J54" s="30" t="str">
        <f>E21</f>
        <v xml:space="preserve"> </v>
      </c>
      <c r="L54" s="32"/>
    </row>
    <row r="55" spans="2:47" s="1" customFormat="1" ht="15.2" customHeight="1" x14ac:dyDescent="0.2">
      <c r="B55" s="32"/>
      <c r="C55" s="27" t="s">
        <v>26</v>
      </c>
      <c r="F55" s="25" t="str">
        <f>IF(E18="","",E18)</f>
        <v>Vyplň údaj</v>
      </c>
      <c r="I55" s="27" t="s">
        <v>30</v>
      </c>
      <c r="J55" s="30" t="str">
        <f>E24</f>
        <v xml:space="preserve"> </v>
      </c>
      <c r="L55" s="32"/>
    </row>
    <row r="56" spans="2:47" s="1" customFormat="1" ht="10.35" customHeight="1" x14ac:dyDescent="0.2">
      <c r="B56" s="32"/>
      <c r="L56" s="32"/>
    </row>
    <row r="57" spans="2:47" s="1" customFormat="1" ht="29.25" customHeight="1" x14ac:dyDescent="0.2">
      <c r="B57" s="32"/>
      <c r="C57" s="96" t="s">
        <v>85</v>
      </c>
      <c r="D57" s="90"/>
      <c r="E57" s="90"/>
      <c r="F57" s="90"/>
      <c r="G57" s="90"/>
      <c r="H57" s="90"/>
      <c r="I57" s="90"/>
      <c r="J57" s="97" t="s">
        <v>86</v>
      </c>
      <c r="K57" s="90"/>
      <c r="L57" s="32"/>
    </row>
    <row r="58" spans="2:47" s="1" customFormat="1" ht="10.35" customHeight="1" x14ac:dyDescent="0.2">
      <c r="B58" s="32"/>
      <c r="L58" s="32"/>
    </row>
    <row r="59" spans="2:47" s="1" customFormat="1" ht="22.9" customHeight="1" x14ac:dyDescent="0.2">
      <c r="B59" s="32"/>
      <c r="C59" s="98" t="s">
        <v>65</v>
      </c>
      <c r="J59" s="63">
        <f>J86</f>
        <v>0</v>
      </c>
      <c r="L59" s="32"/>
      <c r="AU59" s="17" t="s">
        <v>87</v>
      </c>
    </row>
    <row r="60" spans="2:47" s="8" customFormat="1" ht="24.95" customHeight="1" x14ac:dyDescent="0.2">
      <c r="B60" s="99"/>
      <c r="D60" s="100" t="s">
        <v>440</v>
      </c>
      <c r="E60" s="101"/>
      <c r="F60" s="101"/>
      <c r="G60" s="101"/>
      <c r="H60" s="101"/>
      <c r="I60" s="101"/>
      <c r="J60" s="102">
        <f>J87</f>
        <v>0</v>
      </c>
      <c r="L60" s="99"/>
    </row>
    <row r="61" spans="2:47" s="9" customFormat="1" ht="19.899999999999999" customHeight="1" x14ac:dyDescent="0.2">
      <c r="B61" s="103"/>
      <c r="D61" s="104" t="s">
        <v>88</v>
      </c>
      <c r="E61" s="105"/>
      <c r="F61" s="105"/>
      <c r="G61" s="105"/>
      <c r="H61" s="105"/>
      <c r="I61" s="105"/>
      <c r="J61" s="106">
        <f>J88</f>
        <v>0</v>
      </c>
      <c r="L61" s="103"/>
    </row>
    <row r="62" spans="2:47" s="9" customFormat="1" ht="19.899999999999999" customHeight="1" x14ac:dyDescent="0.2">
      <c r="B62" s="103"/>
      <c r="D62" s="104" t="s">
        <v>89</v>
      </c>
      <c r="E62" s="105"/>
      <c r="F62" s="105"/>
      <c r="G62" s="105"/>
      <c r="H62" s="105"/>
      <c r="I62" s="105"/>
      <c r="J62" s="106">
        <f>J175</f>
        <v>0</v>
      </c>
      <c r="L62" s="103"/>
    </row>
    <row r="63" spans="2:47" s="9" customFormat="1" ht="19.899999999999999" customHeight="1" x14ac:dyDescent="0.2">
      <c r="B63" s="103"/>
      <c r="D63" s="104" t="s">
        <v>90</v>
      </c>
      <c r="E63" s="105"/>
      <c r="F63" s="105"/>
      <c r="G63" s="105"/>
      <c r="H63" s="105"/>
      <c r="I63" s="105"/>
      <c r="J63" s="106">
        <f>J202</f>
        <v>0</v>
      </c>
      <c r="K63" s="276"/>
      <c r="L63" s="275"/>
    </row>
    <row r="64" spans="2:47" s="9" customFormat="1" ht="19.899999999999999" customHeight="1" x14ac:dyDescent="0.2">
      <c r="B64" s="103"/>
      <c r="D64" s="104" t="s">
        <v>439</v>
      </c>
      <c r="E64" s="105"/>
      <c r="F64" s="105"/>
      <c r="G64" s="105"/>
      <c r="H64" s="105"/>
      <c r="I64" s="105"/>
      <c r="J64" s="106">
        <f>J273</f>
        <v>0</v>
      </c>
      <c r="K64" s="276"/>
      <c r="L64" s="275"/>
    </row>
    <row r="65" spans="2:13" s="9" customFormat="1" ht="19.899999999999999" customHeight="1" x14ac:dyDescent="0.2">
      <c r="B65" s="103"/>
      <c r="D65" s="104" t="s">
        <v>91</v>
      </c>
      <c r="E65" s="104"/>
      <c r="F65" s="105"/>
      <c r="G65" s="105"/>
      <c r="H65" s="105"/>
      <c r="I65" s="105"/>
      <c r="J65" s="106">
        <f>J284</f>
        <v>0</v>
      </c>
      <c r="K65" s="276"/>
      <c r="L65" s="275"/>
      <c r="M65" s="103"/>
    </row>
    <row r="66" spans="2:13" s="9" customFormat="1" ht="19.899999999999999" customHeight="1" x14ac:dyDescent="0.2">
      <c r="B66" s="103"/>
      <c r="D66" s="104" t="s">
        <v>92</v>
      </c>
      <c r="E66" s="105"/>
      <c r="F66" s="105"/>
      <c r="G66" s="105"/>
      <c r="H66" s="105"/>
      <c r="I66" s="105"/>
      <c r="J66" s="106">
        <f>J326</f>
        <v>0</v>
      </c>
      <c r="K66" s="276"/>
      <c r="L66" s="275"/>
    </row>
    <row r="67" spans="2:13" s="1" customFormat="1" ht="21.75" customHeight="1" x14ac:dyDescent="0.2">
      <c r="B67" s="32"/>
      <c r="L67" s="32"/>
    </row>
    <row r="68" spans="2:13" s="1" customFormat="1" ht="6.95" customHeight="1" x14ac:dyDescent="0.2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32"/>
    </row>
    <row r="72" spans="2:13" s="1" customFormat="1" ht="6.95" customHeight="1" x14ac:dyDescent="0.2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32"/>
    </row>
    <row r="73" spans="2:13" s="1" customFormat="1" ht="24.95" customHeight="1" x14ac:dyDescent="0.2">
      <c r="B73" s="32"/>
      <c r="C73" s="21" t="s">
        <v>93</v>
      </c>
      <c r="L73" s="32"/>
    </row>
    <row r="74" spans="2:13" s="1" customFormat="1" ht="6.95" customHeight="1" x14ac:dyDescent="0.2">
      <c r="B74" s="32"/>
      <c r="L74" s="32"/>
    </row>
    <row r="75" spans="2:13" s="1" customFormat="1" ht="12" customHeight="1" x14ac:dyDescent="0.2">
      <c r="B75" s="32"/>
      <c r="C75" s="27" t="s">
        <v>16</v>
      </c>
      <c r="L75" s="32"/>
    </row>
    <row r="76" spans="2:13" s="1" customFormat="1" ht="16.5" customHeight="1" x14ac:dyDescent="0.2">
      <c r="B76" s="32"/>
      <c r="E76" s="325" t="str">
        <f>E7</f>
        <v>Dětské hřiště, Praha 20, ul. Běluňská</v>
      </c>
      <c r="F76" s="326"/>
      <c r="G76" s="326"/>
      <c r="H76" s="326"/>
      <c r="L76" s="32"/>
    </row>
    <row r="77" spans="2:13" s="1" customFormat="1" ht="12" customHeight="1" x14ac:dyDescent="0.2">
      <c r="B77" s="32"/>
      <c r="C77" s="27" t="s">
        <v>82</v>
      </c>
      <c r="L77" s="32"/>
    </row>
    <row r="78" spans="2:13" s="1" customFormat="1" ht="16.5" customHeight="1" x14ac:dyDescent="0.2">
      <c r="B78" s="32"/>
      <c r="E78" s="297" t="str">
        <f>E9</f>
        <v>01 - Stavební část</v>
      </c>
      <c r="F78" s="324"/>
      <c r="G78" s="324"/>
      <c r="H78" s="324"/>
      <c r="L78" s="32"/>
    </row>
    <row r="79" spans="2:13" s="1" customFormat="1" ht="6.95" customHeight="1" x14ac:dyDescent="0.2">
      <c r="B79" s="32"/>
      <c r="L79" s="32"/>
    </row>
    <row r="80" spans="2:13" s="1" customFormat="1" ht="12" customHeight="1" x14ac:dyDescent="0.2">
      <c r="B80" s="32"/>
      <c r="C80" s="27" t="s">
        <v>20</v>
      </c>
      <c r="F80" s="25" t="str">
        <f>F12</f>
        <v xml:space="preserve"> </v>
      </c>
      <c r="I80" s="27" t="s">
        <v>22</v>
      </c>
      <c r="J80" s="49"/>
      <c r="L80" s="32"/>
    </row>
    <row r="81" spans="2:65" s="1" customFormat="1" ht="6.95" customHeight="1" x14ac:dyDescent="0.2">
      <c r="B81" s="32"/>
      <c r="L81" s="32"/>
    </row>
    <row r="82" spans="2:65" s="1" customFormat="1" ht="15.2" customHeight="1" x14ac:dyDescent="0.2">
      <c r="B82" s="32"/>
      <c r="C82" s="27" t="s">
        <v>23</v>
      </c>
      <c r="F82" s="25" t="str">
        <f>E15</f>
        <v xml:space="preserve"> </v>
      </c>
      <c r="I82" s="27" t="s">
        <v>28</v>
      </c>
      <c r="J82" s="30" t="str">
        <f>E21</f>
        <v xml:space="preserve"> </v>
      </c>
      <c r="L82" s="32"/>
    </row>
    <row r="83" spans="2:65" s="1" customFormat="1" ht="15.2" customHeight="1" x14ac:dyDescent="0.2">
      <c r="B83" s="32"/>
      <c r="C83" s="27" t="s">
        <v>26</v>
      </c>
      <c r="F83" s="25" t="str">
        <f>IF(E18="","",E18)</f>
        <v>Vyplň údaj</v>
      </c>
      <c r="I83" s="27" t="s">
        <v>30</v>
      </c>
      <c r="J83" s="30" t="str">
        <f>E24</f>
        <v xml:space="preserve"> </v>
      </c>
      <c r="L83" s="32"/>
    </row>
    <row r="84" spans="2:65" s="1" customFormat="1" ht="10.35" customHeight="1" x14ac:dyDescent="0.2">
      <c r="B84" s="32"/>
      <c r="L84" s="32"/>
    </row>
    <row r="85" spans="2:65" s="10" customFormat="1" ht="29.25" customHeight="1" x14ac:dyDescent="0.2">
      <c r="B85" s="107"/>
      <c r="C85" s="108" t="s">
        <v>94</v>
      </c>
      <c r="D85" s="109" t="s">
        <v>52</v>
      </c>
      <c r="E85" s="109" t="s">
        <v>48</v>
      </c>
      <c r="F85" s="109" t="s">
        <v>49</v>
      </c>
      <c r="G85" s="109" t="s">
        <v>95</v>
      </c>
      <c r="H85" s="109" t="s">
        <v>96</v>
      </c>
      <c r="I85" s="109" t="s">
        <v>97</v>
      </c>
      <c r="J85" s="109" t="s">
        <v>86</v>
      </c>
      <c r="K85" s="110" t="s">
        <v>98</v>
      </c>
      <c r="L85" s="107"/>
      <c r="M85" s="56" t="s">
        <v>18</v>
      </c>
      <c r="N85" s="57" t="s">
        <v>37</v>
      </c>
      <c r="O85" s="57" t="s">
        <v>99</v>
      </c>
      <c r="P85" s="57" t="s">
        <v>100</v>
      </c>
      <c r="Q85" s="57" t="s">
        <v>101</v>
      </c>
      <c r="R85" s="57" t="s">
        <v>102</v>
      </c>
      <c r="S85" s="57" t="s">
        <v>103</v>
      </c>
      <c r="T85" s="58" t="s">
        <v>104</v>
      </c>
    </row>
    <row r="86" spans="2:65" s="1" customFormat="1" ht="22.9" customHeight="1" x14ac:dyDescent="0.25">
      <c r="B86" s="32"/>
      <c r="C86" s="61" t="s">
        <v>105</v>
      </c>
      <c r="J86" s="111">
        <f>J87</f>
        <v>0</v>
      </c>
      <c r="L86" s="32"/>
      <c r="M86" s="59"/>
      <c r="N86" s="50"/>
      <c r="O86" s="50"/>
      <c r="P86" s="112" t="e">
        <f>P87</f>
        <v>#REF!</v>
      </c>
      <c r="Q86" s="50"/>
      <c r="R86" s="112" t="e">
        <f>R87</f>
        <v>#REF!</v>
      </c>
      <c r="S86" s="50"/>
      <c r="T86" s="113" t="e">
        <f>T87</f>
        <v>#REF!</v>
      </c>
      <c r="AT86" s="17" t="s">
        <v>66</v>
      </c>
      <c r="AU86" s="17" t="s">
        <v>87</v>
      </c>
      <c r="BK86" s="114" t="e">
        <f>BK87</f>
        <v>#REF!</v>
      </c>
    </row>
    <row r="87" spans="2:65" s="11" customFormat="1" ht="25.9" customHeight="1" x14ac:dyDescent="0.2">
      <c r="B87" s="115"/>
      <c r="D87" s="116" t="s">
        <v>66</v>
      </c>
      <c r="E87" s="117"/>
      <c r="F87" s="117" t="s">
        <v>440</v>
      </c>
      <c r="I87" s="118"/>
      <c r="J87" s="119">
        <f>J88+J175+J202+J284+J326+J273</f>
        <v>0</v>
      </c>
      <c r="L87" s="115"/>
      <c r="M87" s="120"/>
      <c r="P87" s="121" t="e">
        <f>P88+P175+#REF!+P202+P284+P326</f>
        <v>#REF!</v>
      </c>
      <c r="R87" s="121" t="e">
        <f>R88+R175+#REF!+R202+R284+R326</f>
        <v>#REF!</v>
      </c>
      <c r="T87" s="122" t="e">
        <f>T88+T175+#REF!+T202+T284+T326</f>
        <v>#REF!</v>
      </c>
      <c r="AR87" s="116" t="s">
        <v>75</v>
      </c>
      <c r="AT87" s="123" t="s">
        <v>66</v>
      </c>
      <c r="AU87" s="123" t="s">
        <v>67</v>
      </c>
      <c r="AY87" s="116" t="s">
        <v>106</v>
      </c>
      <c r="BK87" s="124" t="e">
        <f>BK88+BK175+#REF!+BK202+BK284+BK326</f>
        <v>#REF!</v>
      </c>
    </row>
    <row r="88" spans="2:65" s="11" customFormat="1" ht="22.9" customHeight="1" x14ac:dyDescent="0.2">
      <c r="B88" s="115"/>
      <c r="D88" s="116" t="s">
        <v>66</v>
      </c>
      <c r="E88" s="125" t="s">
        <v>75</v>
      </c>
      <c r="F88" s="125" t="s">
        <v>107</v>
      </c>
      <c r="I88" s="118"/>
      <c r="J88" s="126">
        <f>SUM(J89:J174)</f>
        <v>0</v>
      </c>
      <c r="L88" s="115"/>
      <c r="M88" s="120"/>
      <c r="P88" s="121">
        <f>SUM(P89:P171)</f>
        <v>0</v>
      </c>
      <c r="R88" s="121">
        <f>SUM(R89:R171)</f>
        <v>0</v>
      </c>
      <c r="T88" s="122">
        <f>SUM(T89:T171)</f>
        <v>0</v>
      </c>
      <c r="AR88" s="116" t="s">
        <v>75</v>
      </c>
      <c r="AT88" s="123" t="s">
        <v>66</v>
      </c>
      <c r="AU88" s="123" t="s">
        <v>75</v>
      </c>
      <c r="AY88" s="116" t="s">
        <v>106</v>
      </c>
      <c r="BK88" s="124">
        <f>SUM(BK89:BK171)</f>
        <v>0</v>
      </c>
    </row>
    <row r="89" spans="2:65" s="1" customFormat="1" ht="15" customHeight="1" x14ac:dyDescent="0.2">
      <c r="B89" s="32"/>
      <c r="C89" s="127"/>
      <c r="D89" s="127" t="s">
        <v>108</v>
      </c>
      <c r="E89" s="277" t="s">
        <v>411</v>
      </c>
      <c r="F89" s="129" t="s">
        <v>410</v>
      </c>
      <c r="G89" s="130" t="s">
        <v>109</v>
      </c>
      <c r="H89" s="131">
        <f>H92</f>
        <v>504</v>
      </c>
      <c r="I89" s="132"/>
      <c r="J89" s="133">
        <f>ROUND(I89*H89,2)</f>
        <v>0</v>
      </c>
      <c r="K89" s="129" t="s">
        <v>412</v>
      </c>
      <c r="L89" s="32"/>
      <c r="M89" s="134" t="s">
        <v>18</v>
      </c>
      <c r="N89" s="135" t="s">
        <v>38</v>
      </c>
      <c r="P89" s="136">
        <f>O89*H89</f>
        <v>0</v>
      </c>
      <c r="Q89" s="136">
        <v>0</v>
      </c>
      <c r="R89" s="136">
        <f>Q89*H89</f>
        <v>0</v>
      </c>
      <c r="S89" s="136">
        <v>0</v>
      </c>
      <c r="T89" s="137">
        <f>S89*H89</f>
        <v>0</v>
      </c>
      <c r="AR89" s="138" t="s">
        <v>110</v>
      </c>
      <c r="AT89" s="138" t="s">
        <v>108</v>
      </c>
      <c r="AU89" s="138" t="s">
        <v>77</v>
      </c>
      <c r="AY89" s="17" t="s">
        <v>106</v>
      </c>
      <c r="BE89" s="139">
        <f>IF(N89="základní",J89,0)</f>
        <v>0</v>
      </c>
      <c r="BF89" s="139">
        <f>IF(N89="snížená",J89,0)</f>
        <v>0</v>
      </c>
      <c r="BG89" s="139">
        <f>IF(N89="zákl. přenesená",J89,0)</f>
        <v>0</v>
      </c>
      <c r="BH89" s="139">
        <f>IF(N89="sníž. přenesená",J89,0)</f>
        <v>0</v>
      </c>
      <c r="BI89" s="139">
        <f>IF(N89="nulová",J89,0)</f>
        <v>0</v>
      </c>
      <c r="BJ89" s="17" t="s">
        <v>75</v>
      </c>
      <c r="BK89" s="139">
        <f>ROUND(I89*H89,2)</f>
        <v>0</v>
      </c>
      <c r="BL89" s="17" t="s">
        <v>110</v>
      </c>
      <c r="BM89" s="138" t="s">
        <v>115</v>
      </c>
    </row>
    <row r="90" spans="2:65" s="14" customFormat="1" x14ac:dyDescent="0.2">
      <c r="B90" s="159"/>
      <c r="D90" s="145" t="s">
        <v>112</v>
      </c>
      <c r="E90" s="280" t="s">
        <v>18</v>
      </c>
      <c r="F90" s="161" t="s">
        <v>364</v>
      </c>
      <c r="H90" s="160" t="s">
        <v>18</v>
      </c>
      <c r="I90" s="162"/>
      <c r="L90" s="159"/>
      <c r="M90" s="163"/>
      <c r="T90" s="164"/>
      <c r="AT90" s="160" t="s">
        <v>112</v>
      </c>
      <c r="AU90" s="160" t="s">
        <v>77</v>
      </c>
      <c r="AV90" s="14" t="s">
        <v>75</v>
      </c>
      <c r="AW90" s="14" t="s">
        <v>29</v>
      </c>
      <c r="AX90" s="14" t="s">
        <v>67</v>
      </c>
      <c r="AY90" s="160" t="s">
        <v>106</v>
      </c>
    </row>
    <row r="91" spans="2:65" s="12" customFormat="1" x14ac:dyDescent="0.2">
      <c r="B91" s="144"/>
      <c r="D91" s="145" t="s">
        <v>112</v>
      </c>
      <c r="E91" s="278" t="s">
        <v>18</v>
      </c>
      <c r="F91" s="147" t="s">
        <v>502</v>
      </c>
      <c r="H91" s="148">
        <f>21*24</f>
        <v>504</v>
      </c>
      <c r="I91" s="149"/>
      <c r="L91" s="144"/>
      <c r="M91" s="150"/>
      <c r="T91" s="151"/>
      <c r="AT91" s="146" t="s">
        <v>112</v>
      </c>
      <c r="AU91" s="146" t="s">
        <v>77</v>
      </c>
      <c r="AV91" s="12" t="s">
        <v>77</v>
      </c>
      <c r="AW91" s="12" t="s">
        <v>29</v>
      </c>
      <c r="AX91" s="12" t="s">
        <v>67</v>
      </c>
      <c r="AY91" s="146" t="s">
        <v>106</v>
      </c>
    </row>
    <row r="92" spans="2:65" s="13" customFormat="1" x14ac:dyDescent="0.2">
      <c r="B92" s="152"/>
      <c r="D92" s="145" t="s">
        <v>112</v>
      </c>
      <c r="E92" s="281" t="s">
        <v>18</v>
      </c>
      <c r="F92" s="154" t="s">
        <v>113</v>
      </c>
      <c r="H92" s="155">
        <f>H91</f>
        <v>504</v>
      </c>
      <c r="I92" s="156"/>
      <c r="L92" s="152"/>
      <c r="M92" s="157"/>
      <c r="T92" s="158"/>
      <c r="AT92" s="153" t="s">
        <v>112</v>
      </c>
      <c r="AU92" s="153" t="s">
        <v>77</v>
      </c>
      <c r="AV92" s="13" t="s">
        <v>110</v>
      </c>
      <c r="AW92" s="13" t="s">
        <v>29</v>
      </c>
      <c r="AX92" s="13" t="s">
        <v>75</v>
      </c>
      <c r="AY92" s="153" t="s">
        <v>106</v>
      </c>
    </row>
    <row r="93" spans="2:65" s="13" customFormat="1" ht="15" customHeight="1" x14ac:dyDescent="0.2">
      <c r="B93" s="152"/>
      <c r="C93" s="127"/>
      <c r="D93" s="127" t="s">
        <v>108</v>
      </c>
      <c r="E93" s="277" t="s">
        <v>416</v>
      </c>
      <c r="F93" s="129" t="s">
        <v>415</v>
      </c>
      <c r="G93" s="130" t="s">
        <v>114</v>
      </c>
      <c r="H93" s="131">
        <f>H122</f>
        <v>26.946297999999999</v>
      </c>
      <c r="I93" s="132"/>
      <c r="J93" s="133">
        <f>I93*H93</f>
        <v>0</v>
      </c>
      <c r="K93" s="129" t="s">
        <v>412</v>
      </c>
      <c r="L93" s="152"/>
      <c r="M93" s="157"/>
      <c r="T93" s="158"/>
      <c r="AT93" s="153"/>
      <c r="AU93" s="153"/>
      <c r="AY93" s="153"/>
    </row>
    <row r="94" spans="2:65" s="13" customFormat="1" x14ac:dyDescent="0.2">
      <c r="B94" s="152"/>
      <c r="C94" s="14"/>
      <c r="D94" s="145" t="s">
        <v>112</v>
      </c>
      <c r="E94" s="280" t="s">
        <v>18</v>
      </c>
      <c r="F94" s="161" t="s">
        <v>432</v>
      </c>
      <c r="G94" s="14"/>
      <c r="H94" s="160" t="s">
        <v>18</v>
      </c>
      <c r="I94" s="162"/>
      <c r="J94" s="14"/>
      <c r="K94" s="14"/>
      <c r="L94" s="152"/>
      <c r="M94" s="157"/>
      <c r="T94" s="158"/>
      <c r="AT94" s="153"/>
      <c r="AU94" s="153"/>
      <c r="AY94" s="153"/>
    </row>
    <row r="95" spans="2:65" s="13" customFormat="1" x14ac:dyDescent="0.2">
      <c r="B95" s="152"/>
      <c r="C95" s="12"/>
      <c r="D95" s="145" t="s">
        <v>112</v>
      </c>
      <c r="E95" s="278"/>
      <c r="F95" s="147" t="s">
        <v>504</v>
      </c>
      <c r="G95" s="12"/>
      <c r="H95" s="148">
        <f>(2.8+0.8+1.2+0.4+0.8+0.8+0.5)*0.3</f>
        <v>2.19</v>
      </c>
      <c r="I95" s="149"/>
      <c r="J95" s="12"/>
      <c r="K95" s="12"/>
      <c r="L95" s="152"/>
      <c r="M95" s="157"/>
      <c r="T95" s="158"/>
      <c r="AT95" s="153"/>
      <c r="AU95" s="153"/>
      <c r="AY95" s="153"/>
    </row>
    <row r="96" spans="2:65" s="13" customFormat="1" x14ac:dyDescent="0.2">
      <c r="B96" s="152"/>
      <c r="C96" s="14"/>
      <c r="D96" s="145" t="s">
        <v>112</v>
      </c>
      <c r="E96" s="280" t="s">
        <v>18</v>
      </c>
      <c r="F96" s="161" t="s">
        <v>365</v>
      </c>
      <c r="G96" s="14"/>
      <c r="H96" s="160" t="s">
        <v>18</v>
      </c>
      <c r="I96" s="149"/>
      <c r="J96" s="12"/>
      <c r="K96" s="12"/>
      <c r="L96" s="152"/>
      <c r="M96" s="157"/>
      <c r="T96" s="158"/>
      <c r="AT96" s="153"/>
      <c r="AU96" s="153"/>
      <c r="AY96" s="153"/>
    </row>
    <row r="97" spans="2:51" s="13" customFormat="1" x14ac:dyDescent="0.2">
      <c r="B97" s="152"/>
      <c r="C97" s="12"/>
      <c r="D97" s="145" t="s">
        <v>112</v>
      </c>
      <c r="E97" s="146" t="s">
        <v>18</v>
      </c>
      <c r="F97" s="147" t="s">
        <v>520</v>
      </c>
      <c r="G97" s="12"/>
      <c r="H97" s="148">
        <f>25*0.2</f>
        <v>5</v>
      </c>
      <c r="I97" s="149"/>
      <c r="J97" s="12"/>
      <c r="K97" s="12"/>
      <c r="L97" s="152"/>
      <c r="M97" s="157"/>
      <c r="T97" s="158"/>
      <c r="AT97" s="153"/>
      <c r="AU97" s="153"/>
      <c r="AY97" s="153"/>
    </row>
    <row r="98" spans="2:51" s="13" customFormat="1" x14ac:dyDescent="0.2">
      <c r="B98" s="152"/>
      <c r="C98" s="12"/>
      <c r="D98" s="145" t="s">
        <v>112</v>
      </c>
      <c r="E98" s="160" t="s">
        <v>18</v>
      </c>
      <c r="F98" s="161" t="s">
        <v>533</v>
      </c>
      <c r="G98" s="14"/>
      <c r="H98" s="160" t="s">
        <v>18</v>
      </c>
      <c r="I98" s="149"/>
      <c r="J98" s="12"/>
      <c r="K98" s="12"/>
      <c r="L98" s="152"/>
      <c r="M98" s="157"/>
      <c r="T98" s="158"/>
      <c r="AT98" s="153"/>
      <c r="AU98" s="153"/>
      <c r="AY98" s="153"/>
    </row>
    <row r="99" spans="2:51" s="13" customFormat="1" x14ac:dyDescent="0.2">
      <c r="B99" s="152"/>
      <c r="C99" s="12"/>
      <c r="D99" s="145" t="s">
        <v>112</v>
      </c>
      <c r="E99" s="146" t="s">
        <v>18</v>
      </c>
      <c r="F99" s="147" t="s">
        <v>534</v>
      </c>
      <c r="G99" s="12"/>
      <c r="H99" s="148">
        <f>85*0.2</f>
        <v>17</v>
      </c>
      <c r="I99" s="149"/>
      <c r="J99" s="12"/>
      <c r="K99" s="12"/>
      <c r="L99" s="152"/>
      <c r="M99" s="157"/>
      <c r="T99" s="158"/>
      <c r="AT99" s="153"/>
      <c r="AU99" s="153"/>
      <c r="AY99" s="153"/>
    </row>
    <row r="100" spans="2:51" s="13" customFormat="1" x14ac:dyDescent="0.2">
      <c r="B100" s="152"/>
      <c r="C100" s="12"/>
      <c r="D100" s="145" t="s">
        <v>112</v>
      </c>
      <c r="E100" s="160" t="s">
        <v>18</v>
      </c>
      <c r="F100" s="161" t="s">
        <v>379</v>
      </c>
      <c r="G100" s="14"/>
      <c r="H100" s="160" t="s">
        <v>18</v>
      </c>
      <c r="I100" s="149"/>
      <c r="J100" s="12"/>
      <c r="K100" s="12"/>
      <c r="L100" s="152"/>
      <c r="M100" s="157"/>
      <c r="T100" s="158"/>
      <c r="AT100" s="153"/>
      <c r="AU100" s="153"/>
      <c r="AY100" s="153"/>
    </row>
    <row r="101" spans="2:51" s="13" customFormat="1" x14ac:dyDescent="0.2">
      <c r="B101" s="152"/>
      <c r="C101" s="12"/>
      <c r="D101" s="145" t="s">
        <v>112</v>
      </c>
      <c r="E101" s="146" t="s">
        <v>18</v>
      </c>
      <c r="F101" s="147" t="s">
        <v>521</v>
      </c>
      <c r="G101" s="12"/>
      <c r="H101" s="148">
        <f>(0.45*0.75*0.9*6)*0.2</f>
        <v>0.36450000000000005</v>
      </c>
      <c r="I101" s="149"/>
      <c r="J101" s="12"/>
      <c r="K101" s="12"/>
      <c r="L101" s="152"/>
      <c r="M101" s="157"/>
      <c r="T101" s="158"/>
      <c r="AT101" s="153"/>
      <c r="AU101" s="153"/>
      <c r="AY101" s="153"/>
    </row>
    <row r="102" spans="2:51" s="13" customFormat="1" x14ac:dyDescent="0.2">
      <c r="B102" s="152"/>
      <c r="C102" s="12"/>
      <c r="D102" s="145" t="s">
        <v>112</v>
      </c>
      <c r="E102" s="160" t="s">
        <v>18</v>
      </c>
      <c r="F102" s="161" t="s">
        <v>380</v>
      </c>
      <c r="G102" s="14"/>
      <c r="H102" s="148"/>
      <c r="I102" s="149"/>
      <c r="J102" s="12"/>
      <c r="K102" s="12"/>
      <c r="L102" s="152"/>
      <c r="M102" s="157"/>
      <c r="T102" s="158"/>
      <c r="AT102" s="153"/>
      <c r="AU102" s="153"/>
      <c r="AY102" s="153"/>
    </row>
    <row r="103" spans="2:51" s="13" customFormat="1" x14ac:dyDescent="0.2">
      <c r="B103" s="152"/>
      <c r="C103" s="12"/>
      <c r="D103" s="145" t="s">
        <v>112</v>
      </c>
      <c r="E103" s="146" t="s">
        <v>18</v>
      </c>
      <c r="F103" s="147" t="s">
        <v>522</v>
      </c>
      <c r="G103" s="12"/>
      <c r="H103" s="148">
        <f>(0.4*0.4*1*4)*0.2</f>
        <v>0.12800000000000003</v>
      </c>
      <c r="I103" s="149"/>
      <c r="J103" s="12"/>
      <c r="K103" s="12"/>
      <c r="L103" s="152"/>
      <c r="M103" s="157"/>
      <c r="T103" s="158"/>
      <c r="AT103" s="153"/>
      <c r="AU103" s="153"/>
      <c r="AY103" s="153"/>
    </row>
    <row r="104" spans="2:51" s="13" customFormat="1" x14ac:dyDescent="0.2">
      <c r="B104" s="152"/>
      <c r="C104" s="12"/>
      <c r="D104" s="145" t="s">
        <v>112</v>
      </c>
      <c r="E104" s="160" t="s">
        <v>18</v>
      </c>
      <c r="F104" s="161" t="s">
        <v>367</v>
      </c>
      <c r="G104" s="14"/>
      <c r="H104" s="148"/>
      <c r="I104" s="149"/>
      <c r="J104" s="12"/>
      <c r="K104" s="12"/>
      <c r="L104" s="152"/>
      <c r="M104" s="157"/>
      <c r="T104" s="158"/>
      <c r="AT104" s="153"/>
      <c r="AU104" s="153"/>
      <c r="AY104" s="153"/>
    </row>
    <row r="105" spans="2:51" s="13" customFormat="1" x14ac:dyDescent="0.2">
      <c r="B105" s="152"/>
      <c r="C105" s="12"/>
      <c r="D105" s="145" t="s">
        <v>112</v>
      </c>
      <c r="E105" s="146" t="s">
        <v>18</v>
      </c>
      <c r="F105" s="147" t="s">
        <v>523</v>
      </c>
      <c r="G105" s="12"/>
      <c r="H105" s="148">
        <f>(0.705*0.56*0.41*2)*0.2</f>
        <v>6.4747200000000005E-2</v>
      </c>
      <c r="I105" s="149"/>
      <c r="J105" s="12"/>
      <c r="K105" s="12"/>
      <c r="L105" s="152"/>
      <c r="M105" s="157"/>
      <c r="T105" s="158"/>
      <c r="AT105" s="153"/>
      <c r="AU105" s="153"/>
      <c r="AY105" s="153"/>
    </row>
    <row r="106" spans="2:51" s="13" customFormat="1" x14ac:dyDescent="0.2">
      <c r="B106" s="152"/>
      <c r="C106" s="12"/>
      <c r="D106" s="145" t="s">
        <v>112</v>
      </c>
      <c r="E106" s="160" t="s">
        <v>18</v>
      </c>
      <c r="F106" s="161" t="s">
        <v>366</v>
      </c>
      <c r="G106" s="14"/>
      <c r="H106" s="148"/>
      <c r="I106" s="149"/>
      <c r="J106" s="12"/>
      <c r="K106" s="12"/>
      <c r="L106" s="152"/>
      <c r="M106" s="157"/>
      <c r="T106" s="158"/>
      <c r="AT106" s="153"/>
      <c r="AU106" s="153"/>
      <c r="AY106" s="153"/>
    </row>
    <row r="107" spans="2:51" s="13" customFormat="1" x14ac:dyDescent="0.2">
      <c r="B107" s="152"/>
      <c r="C107" s="12"/>
      <c r="D107" s="145" t="s">
        <v>112</v>
      </c>
      <c r="E107" s="146" t="s">
        <v>18</v>
      </c>
      <c r="F107" s="147" t="s">
        <v>531</v>
      </c>
      <c r="G107" s="12"/>
      <c r="H107" s="148">
        <f>(3.14*0.15*0.15*1)*0.2</f>
        <v>1.4129999999999998E-2</v>
      </c>
      <c r="I107" s="149"/>
      <c r="J107" s="12"/>
      <c r="K107" s="12"/>
      <c r="L107" s="152"/>
      <c r="M107" s="157"/>
      <c r="T107" s="158"/>
      <c r="AT107" s="153"/>
      <c r="AU107" s="153"/>
      <c r="AY107" s="153"/>
    </row>
    <row r="108" spans="2:51" s="13" customFormat="1" x14ac:dyDescent="0.2">
      <c r="B108" s="152"/>
      <c r="C108" s="12"/>
      <c r="D108" s="145" t="s">
        <v>112</v>
      </c>
      <c r="E108" s="160" t="s">
        <v>18</v>
      </c>
      <c r="F108" s="161" t="s">
        <v>381</v>
      </c>
      <c r="G108" s="14"/>
      <c r="H108" s="148"/>
      <c r="I108" s="149"/>
      <c r="J108" s="12"/>
      <c r="K108" s="12"/>
      <c r="L108" s="152"/>
      <c r="M108" s="157"/>
      <c r="T108" s="158"/>
      <c r="AT108" s="153"/>
      <c r="AU108" s="153"/>
      <c r="AY108" s="153"/>
    </row>
    <row r="109" spans="2:51" s="13" customFormat="1" x14ac:dyDescent="0.2">
      <c r="B109" s="152"/>
      <c r="C109" s="12"/>
      <c r="D109" s="145" t="s">
        <v>112</v>
      </c>
      <c r="E109" s="146" t="s">
        <v>18</v>
      </c>
      <c r="F109" s="147" t="s">
        <v>524</v>
      </c>
      <c r="G109" s="12"/>
      <c r="H109" s="148">
        <f>(25*(3.14*0.25*0.25*1)+5*(3.14*0.35*0.35*1)+(3.14*0.15*0.14*0.6)+2*(0.3*0.7*0.6)+4*(0.4*0.6*0.6))*0.2</f>
        <v>1.5394128</v>
      </c>
      <c r="I109" s="149"/>
      <c r="J109" s="12"/>
      <c r="K109" s="12"/>
      <c r="L109" s="152"/>
      <c r="M109" s="157"/>
      <c r="T109" s="158"/>
      <c r="AT109" s="153"/>
      <c r="AU109" s="153"/>
      <c r="AY109" s="153"/>
    </row>
    <row r="110" spans="2:51" s="13" customFormat="1" x14ac:dyDescent="0.2">
      <c r="B110" s="152"/>
      <c r="C110" s="12"/>
      <c r="D110" s="145" t="s">
        <v>112</v>
      </c>
      <c r="E110" s="160" t="s">
        <v>18</v>
      </c>
      <c r="F110" s="161" t="s">
        <v>382</v>
      </c>
      <c r="G110" s="14"/>
      <c r="H110" s="148"/>
      <c r="I110" s="149"/>
      <c r="J110" s="12"/>
      <c r="K110" s="12"/>
      <c r="L110" s="152"/>
      <c r="M110" s="157"/>
      <c r="T110" s="158"/>
      <c r="AT110" s="153"/>
      <c r="AU110" s="153"/>
      <c r="AY110" s="153"/>
    </row>
    <row r="111" spans="2:51" s="13" customFormat="1" x14ac:dyDescent="0.2">
      <c r="B111" s="152"/>
      <c r="C111" s="12"/>
      <c r="D111" s="145" t="s">
        <v>112</v>
      </c>
      <c r="E111" s="146" t="s">
        <v>18</v>
      </c>
      <c r="F111" s="147" t="s">
        <v>525</v>
      </c>
      <c r="G111" s="12"/>
      <c r="H111" s="148">
        <f>(0.41*0.75*0.56)*0.4</f>
        <v>6.8880000000000011E-2</v>
      </c>
      <c r="I111" s="149"/>
      <c r="J111" s="12"/>
      <c r="K111" s="12"/>
      <c r="L111" s="152"/>
      <c r="M111" s="157"/>
      <c r="T111" s="158"/>
      <c r="AT111" s="153"/>
      <c r="AU111" s="153"/>
      <c r="AY111" s="153"/>
    </row>
    <row r="112" spans="2:51" s="13" customFormat="1" x14ac:dyDescent="0.2">
      <c r="B112" s="152"/>
      <c r="C112" s="12"/>
      <c r="D112" s="145" t="s">
        <v>112</v>
      </c>
      <c r="E112" s="160" t="s">
        <v>18</v>
      </c>
      <c r="F112" s="161" t="s">
        <v>383</v>
      </c>
      <c r="G112" s="14"/>
      <c r="H112" s="148"/>
      <c r="I112" s="149"/>
      <c r="J112" s="12"/>
      <c r="K112" s="12"/>
      <c r="L112" s="152"/>
      <c r="M112" s="157"/>
      <c r="T112" s="158"/>
      <c r="AT112" s="153"/>
      <c r="AU112" s="153"/>
      <c r="AY112" s="153"/>
    </row>
    <row r="113" spans="2:65" s="13" customFormat="1" x14ac:dyDescent="0.2">
      <c r="B113" s="152"/>
      <c r="C113" s="12"/>
      <c r="D113" s="145" t="s">
        <v>112</v>
      </c>
      <c r="E113" s="146" t="s">
        <v>18</v>
      </c>
      <c r="F113" s="147" t="s">
        <v>526</v>
      </c>
      <c r="G113" s="12"/>
      <c r="H113" s="148">
        <f>(3.14*0.2*0.2*0.9)*0.2</f>
        <v>2.2608000000000003E-2</v>
      </c>
      <c r="I113" s="149"/>
      <c r="J113" s="12"/>
      <c r="K113" s="12"/>
      <c r="L113" s="152"/>
      <c r="M113" s="157"/>
      <c r="T113" s="158"/>
      <c r="AT113" s="153"/>
      <c r="AU113" s="153"/>
      <c r="AY113" s="153"/>
    </row>
    <row r="114" spans="2:65" s="13" customFormat="1" x14ac:dyDescent="0.2">
      <c r="B114" s="152"/>
      <c r="C114" s="12"/>
      <c r="D114" s="145" t="s">
        <v>112</v>
      </c>
      <c r="E114" s="160" t="s">
        <v>18</v>
      </c>
      <c r="F114" s="161" t="s">
        <v>384</v>
      </c>
      <c r="G114" s="14"/>
      <c r="H114" s="148"/>
      <c r="I114" s="149"/>
      <c r="J114" s="12"/>
      <c r="K114" s="12"/>
      <c r="L114" s="152"/>
      <c r="M114" s="157"/>
      <c r="T114" s="158"/>
      <c r="AT114" s="153"/>
      <c r="AU114" s="153"/>
      <c r="AY114" s="153"/>
    </row>
    <row r="115" spans="2:65" s="13" customFormat="1" x14ac:dyDescent="0.2">
      <c r="B115" s="152"/>
      <c r="C115" s="12"/>
      <c r="D115" s="145" t="s">
        <v>112</v>
      </c>
      <c r="E115" s="146" t="s">
        <v>18</v>
      </c>
      <c r="F115" s="147" t="s">
        <v>527</v>
      </c>
      <c r="G115" s="12"/>
      <c r="H115" s="148">
        <f>(5*3.14*0.2*0.2*1)*0.2</f>
        <v>0.12560000000000002</v>
      </c>
      <c r="I115" s="149"/>
      <c r="J115" s="12"/>
      <c r="K115" s="12"/>
      <c r="L115" s="152"/>
      <c r="M115" s="157"/>
      <c r="T115" s="158"/>
      <c r="AT115" s="153"/>
      <c r="AU115" s="153"/>
      <c r="AY115" s="153"/>
    </row>
    <row r="116" spans="2:65" s="13" customFormat="1" x14ac:dyDescent="0.2">
      <c r="B116" s="152"/>
      <c r="C116" s="12"/>
      <c r="D116" s="145" t="s">
        <v>112</v>
      </c>
      <c r="E116" s="160" t="s">
        <v>18</v>
      </c>
      <c r="F116" s="161" t="s">
        <v>385</v>
      </c>
      <c r="G116" s="14"/>
      <c r="H116" s="148"/>
      <c r="I116" s="149"/>
      <c r="J116" s="12"/>
      <c r="K116" s="12"/>
      <c r="L116" s="152"/>
      <c r="M116" s="157"/>
      <c r="T116" s="158"/>
      <c r="AT116" s="153"/>
      <c r="AU116" s="153"/>
      <c r="AY116" s="153"/>
    </row>
    <row r="117" spans="2:65" s="13" customFormat="1" x14ac:dyDescent="0.2">
      <c r="B117" s="152"/>
      <c r="C117" s="12"/>
      <c r="D117" s="145" t="s">
        <v>112</v>
      </c>
      <c r="E117" s="146" t="s">
        <v>18</v>
      </c>
      <c r="F117" s="147" t="s">
        <v>528</v>
      </c>
      <c r="G117" s="12"/>
      <c r="H117" s="148">
        <f>(2*3.14*0.2*0.2*1)*0.2</f>
        <v>5.0240000000000007E-2</v>
      </c>
      <c r="I117" s="149"/>
      <c r="J117" s="12"/>
      <c r="K117" s="12"/>
      <c r="L117" s="152"/>
      <c r="M117" s="157"/>
      <c r="T117" s="158"/>
      <c r="AT117" s="153"/>
      <c r="AU117" s="153"/>
      <c r="AY117" s="153"/>
    </row>
    <row r="118" spans="2:65" s="13" customFormat="1" x14ac:dyDescent="0.2">
      <c r="B118" s="152"/>
      <c r="C118" s="12"/>
      <c r="D118" s="145" t="s">
        <v>112</v>
      </c>
      <c r="E118" s="160" t="s">
        <v>18</v>
      </c>
      <c r="F118" s="161" t="s">
        <v>386</v>
      </c>
      <c r="G118" s="14"/>
      <c r="H118" s="148"/>
      <c r="I118" s="149"/>
      <c r="J118" s="12"/>
      <c r="K118" s="12"/>
      <c r="L118" s="152"/>
      <c r="M118" s="157"/>
      <c r="T118" s="158"/>
      <c r="AT118" s="153"/>
      <c r="AU118" s="153"/>
      <c r="AY118" s="153"/>
    </row>
    <row r="119" spans="2:65" s="13" customFormat="1" x14ac:dyDescent="0.2">
      <c r="B119" s="152"/>
      <c r="C119" s="12"/>
      <c r="D119" s="145" t="s">
        <v>112</v>
      </c>
      <c r="E119" s="146" t="s">
        <v>18</v>
      </c>
      <c r="F119" s="147" t="s">
        <v>529</v>
      </c>
      <c r="G119" s="12"/>
      <c r="H119" s="148">
        <f>2*0.2*(3.14*0.15*0.15*1)+0.3*0.3*0.6*0.2</f>
        <v>3.9059999999999997E-2</v>
      </c>
      <c r="I119" s="149"/>
      <c r="J119" s="12"/>
      <c r="K119" s="12"/>
      <c r="L119" s="152"/>
      <c r="M119" s="157"/>
      <c r="T119" s="158"/>
      <c r="AT119" s="153"/>
      <c r="AU119" s="153"/>
      <c r="AY119" s="153"/>
    </row>
    <row r="120" spans="2:65" s="13" customFormat="1" x14ac:dyDescent="0.2">
      <c r="B120" s="152"/>
      <c r="C120" s="12"/>
      <c r="D120" s="145" t="s">
        <v>112</v>
      </c>
      <c r="E120" s="160" t="s">
        <v>18</v>
      </c>
      <c r="F120" s="161" t="s">
        <v>509</v>
      </c>
      <c r="G120" s="14"/>
      <c r="H120" s="148"/>
      <c r="I120" s="149"/>
      <c r="J120" s="12"/>
      <c r="K120" s="12"/>
      <c r="L120" s="152"/>
      <c r="M120" s="157"/>
      <c r="T120" s="158"/>
      <c r="AT120" s="153"/>
      <c r="AU120" s="153"/>
      <c r="AY120" s="153"/>
    </row>
    <row r="121" spans="2:65" s="13" customFormat="1" x14ac:dyDescent="0.2">
      <c r="B121" s="152"/>
      <c r="C121" s="12"/>
      <c r="D121" s="145" t="s">
        <v>112</v>
      </c>
      <c r="E121" s="146" t="s">
        <v>18</v>
      </c>
      <c r="F121" s="147" t="s">
        <v>530</v>
      </c>
      <c r="G121" s="12"/>
      <c r="H121" s="148">
        <f>6*(3.14*0.3*0.3*1)*0.2</f>
        <v>0.33911999999999998</v>
      </c>
      <c r="I121" s="149"/>
      <c r="J121" s="12"/>
      <c r="K121" s="12"/>
      <c r="L121" s="152"/>
      <c r="M121" s="157"/>
      <c r="T121" s="158"/>
      <c r="AT121" s="153"/>
      <c r="AU121" s="153"/>
      <c r="AY121" s="153"/>
    </row>
    <row r="122" spans="2:65" s="13" customFormat="1" x14ac:dyDescent="0.2">
      <c r="B122" s="152"/>
      <c r="D122" s="145" t="s">
        <v>112</v>
      </c>
      <c r="E122" s="153" t="s">
        <v>18</v>
      </c>
      <c r="F122" s="154" t="s">
        <v>113</v>
      </c>
      <c r="H122" s="155">
        <f>SUM(H95:H121)</f>
        <v>26.946297999999999</v>
      </c>
      <c r="I122" s="156"/>
      <c r="L122" s="152"/>
      <c r="M122" s="157"/>
      <c r="T122" s="158"/>
      <c r="AT122" s="153"/>
      <c r="AU122" s="153"/>
      <c r="AY122" s="153"/>
    </row>
    <row r="123" spans="2:65" s="1" customFormat="1" ht="16.5" customHeight="1" x14ac:dyDescent="0.2">
      <c r="B123" s="32"/>
      <c r="C123" s="127"/>
      <c r="D123" s="127" t="s">
        <v>108</v>
      </c>
      <c r="E123" s="277" t="s">
        <v>397</v>
      </c>
      <c r="F123" s="129" t="s">
        <v>396</v>
      </c>
      <c r="G123" s="130" t="s">
        <v>114</v>
      </c>
      <c r="H123" s="131">
        <f>H149</f>
        <v>22.392404800000001</v>
      </c>
      <c r="I123" s="132"/>
      <c r="J123" s="133">
        <f>ROUND(I123*H123,2)</f>
        <v>0</v>
      </c>
      <c r="K123" s="129" t="s">
        <v>412</v>
      </c>
      <c r="L123" s="32"/>
      <c r="M123" s="134" t="s">
        <v>18</v>
      </c>
      <c r="N123" s="135" t="s">
        <v>38</v>
      </c>
      <c r="P123" s="136">
        <f>O123*H123</f>
        <v>0</v>
      </c>
      <c r="Q123" s="136">
        <v>0</v>
      </c>
      <c r="R123" s="136">
        <f>Q123*H123</f>
        <v>0</v>
      </c>
      <c r="S123" s="136">
        <v>0</v>
      </c>
      <c r="T123" s="137">
        <f>S123*H123</f>
        <v>0</v>
      </c>
      <c r="AR123" s="138" t="s">
        <v>110</v>
      </c>
      <c r="AT123" s="138" t="s">
        <v>108</v>
      </c>
      <c r="AU123" s="138" t="s">
        <v>77</v>
      </c>
      <c r="AY123" s="17" t="s">
        <v>106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7" t="s">
        <v>75</v>
      </c>
      <c r="BK123" s="139">
        <f>ROUND(I123*H123,2)</f>
        <v>0</v>
      </c>
      <c r="BL123" s="17" t="s">
        <v>110</v>
      </c>
      <c r="BM123" s="138" t="s">
        <v>116</v>
      </c>
    </row>
    <row r="124" spans="2:65" s="14" customFormat="1" x14ac:dyDescent="0.2">
      <c r="B124" s="159"/>
      <c r="D124" s="145" t="s">
        <v>112</v>
      </c>
      <c r="E124" s="160" t="s">
        <v>368</v>
      </c>
      <c r="F124" s="161" t="s">
        <v>352</v>
      </c>
      <c r="H124" s="160" t="s">
        <v>18</v>
      </c>
      <c r="I124" s="162"/>
      <c r="L124" s="159"/>
      <c r="M124" s="163"/>
      <c r="T124" s="164"/>
      <c r="AT124" s="160" t="s">
        <v>112</v>
      </c>
      <c r="AU124" s="160" t="s">
        <v>77</v>
      </c>
      <c r="AV124" s="14" t="s">
        <v>75</v>
      </c>
      <c r="AW124" s="14" t="s">
        <v>29</v>
      </c>
      <c r="AX124" s="14" t="s">
        <v>67</v>
      </c>
      <c r="AY124" s="160" t="s">
        <v>106</v>
      </c>
    </row>
    <row r="125" spans="2:65" s="14" customFormat="1" x14ac:dyDescent="0.2">
      <c r="B125" s="159"/>
      <c r="D125" s="145" t="s">
        <v>112</v>
      </c>
      <c r="E125" s="160" t="s">
        <v>18</v>
      </c>
      <c r="F125" s="161" t="s">
        <v>365</v>
      </c>
      <c r="H125" s="160" t="s">
        <v>18</v>
      </c>
      <c r="I125" s="162"/>
      <c r="L125" s="159"/>
      <c r="M125" s="163"/>
      <c r="T125" s="164"/>
      <c r="AT125" s="160" t="s">
        <v>112</v>
      </c>
      <c r="AU125" s="160" t="s">
        <v>77</v>
      </c>
      <c r="AV125" s="14" t="s">
        <v>75</v>
      </c>
      <c r="AW125" s="14" t="s">
        <v>29</v>
      </c>
      <c r="AX125" s="14" t="s">
        <v>67</v>
      </c>
      <c r="AY125" s="160" t="s">
        <v>106</v>
      </c>
    </row>
    <row r="126" spans="2:65" s="12" customFormat="1" x14ac:dyDescent="0.2">
      <c r="B126" s="144"/>
      <c r="D126" s="145" t="s">
        <v>112</v>
      </c>
      <c r="E126" s="146" t="s">
        <v>18</v>
      </c>
      <c r="F126" s="147" t="s">
        <v>505</v>
      </c>
      <c r="H126" s="148">
        <f>25*0.4</f>
        <v>10</v>
      </c>
      <c r="I126" s="149"/>
      <c r="L126" s="144"/>
      <c r="M126" s="150"/>
      <c r="T126" s="151"/>
      <c r="AT126" s="146" t="s">
        <v>112</v>
      </c>
      <c r="AU126" s="146" t="s">
        <v>77</v>
      </c>
      <c r="AV126" s="12" t="s">
        <v>77</v>
      </c>
      <c r="AW126" s="12" t="s">
        <v>29</v>
      </c>
      <c r="AX126" s="12" t="s">
        <v>67</v>
      </c>
      <c r="AY126" s="146" t="s">
        <v>106</v>
      </c>
    </row>
    <row r="127" spans="2:65" s="14" customFormat="1" x14ac:dyDescent="0.2">
      <c r="B127" s="159"/>
      <c r="D127" s="145" t="s">
        <v>112</v>
      </c>
      <c r="E127" s="160" t="s">
        <v>18</v>
      </c>
      <c r="F127" s="161" t="s">
        <v>379</v>
      </c>
      <c r="H127" s="160" t="s">
        <v>18</v>
      </c>
      <c r="I127" s="162"/>
      <c r="L127" s="159"/>
      <c r="M127" s="163"/>
      <c r="T127" s="164"/>
      <c r="AT127" s="160" t="s">
        <v>112</v>
      </c>
      <c r="AU127" s="160" t="s">
        <v>77</v>
      </c>
      <c r="AV127" s="14" t="s">
        <v>75</v>
      </c>
      <c r="AW127" s="14" t="s">
        <v>29</v>
      </c>
      <c r="AX127" s="14" t="s">
        <v>67</v>
      </c>
      <c r="AY127" s="160" t="s">
        <v>106</v>
      </c>
    </row>
    <row r="128" spans="2:65" s="12" customFormat="1" x14ac:dyDescent="0.2">
      <c r="B128" s="144"/>
      <c r="D128" s="145" t="s">
        <v>112</v>
      </c>
      <c r="E128" s="146" t="s">
        <v>18</v>
      </c>
      <c r="F128" s="147" t="s">
        <v>510</v>
      </c>
      <c r="H128" s="148">
        <f>(0.45*0.75*0.9*6)*0.8</f>
        <v>1.4580000000000002</v>
      </c>
      <c r="I128" s="149"/>
      <c r="L128" s="144"/>
      <c r="M128" s="150"/>
      <c r="T128" s="151"/>
      <c r="AT128" s="146" t="s">
        <v>112</v>
      </c>
      <c r="AU128" s="146" t="s">
        <v>77</v>
      </c>
      <c r="AV128" s="12" t="s">
        <v>77</v>
      </c>
      <c r="AW128" s="12" t="s">
        <v>29</v>
      </c>
      <c r="AX128" s="12" t="s">
        <v>67</v>
      </c>
      <c r="AY128" s="146" t="s">
        <v>106</v>
      </c>
    </row>
    <row r="129" spans="2:51" s="14" customFormat="1" x14ac:dyDescent="0.2">
      <c r="B129" s="159"/>
      <c r="D129" s="145" t="s">
        <v>112</v>
      </c>
      <c r="E129" s="160" t="s">
        <v>18</v>
      </c>
      <c r="F129" s="161" t="s">
        <v>380</v>
      </c>
      <c r="H129" s="148"/>
      <c r="I129" s="162"/>
      <c r="L129" s="159"/>
      <c r="M129" s="163"/>
      <c r="T129" s="164"/>
      <c r="AT129" s="160" t="s">
        <v>112</v>
      </c>
      <c r="AU129" s="160" t="s">
        <v>77</v>
      </c>
      <c r="AV129" s="14" t="s">
        <v>75</v>
      </c>
      <c r="AW129" s="14" t="s">
        <v>29</v>
      </c>
      <c r="AX129" s="14" t="s">
        <v>67</v>
      </c>
      <c r="AY129" s="160" t="s">
        <v>106</v>
      </c>
    </row>
    <row r="130" spans="2:51" s="12" customFormat="1" x14ac:dyDescent="0.2">
      <c r="B130" s="144"/>
      <c r="D130" s="145" t="s">
        <v>112</v>
      </c>
      <c r="E130" s="146" t="s">
        <v>18</v>
      </c>
      <c r="F130" s="147" t="s">
        <v>511</v>
      </c>
      <c r="H130" s="148">
        <f>(0.4*0.4*1*4)*0.8</f>
        <v>0.51200000000000012</v>
      </c>
      <c r="I130" s="149"/>
      <c r="L130" s="144"/>
      <c r="M130" s="150"/>
      <c r="T130" s="151"/>
      <c r="AT130" s="146" t="s">
        <v>112</v>
      </c>
      <c r="AU130" s="146" t="s">
        <v>77</v>
      </c>
      <c r="AV130" s="12" t="s">
        <v>77</v>
      </c>
      <c r="AW130" s="12" t="s">
        <v>29</v>
      </c>
      <c r="AX130" s="12" t="s">
        <v>67</v>
      </c>
      <c r="AY130" s="146" t="s">
        <v>106</v>
      </c>
    </row>
    <row r="131" spans="2:51" s="14" customFormat="1" x14ac:dyDescent="0.2">
      <c r="B131" s="159"/>
      <c r="D131" s="145" t="s">
        <v>112</v>
      </c>
      <c r="E131" s="160" t="s">
        <v>18</v>
      </c>
      <c r="F131" s="161" t="s">
        <v>367</v>
      </c>
      <c r="H131" s="148"/>
      <c r="I131" s="162"/>
      <c r="L131" s="159"/>
      <c r="M131" s="163"/>
      <c r="T131" s="164"/>
      <c r="AT131" s="160" t="s">
        <v>112</v>
      </c>
      <c r="AU131" s="160" t="s">
        <v>77</v>
      </c>
      <c r="AV131" s="14" t="s">
        <v>75</v>
      </c>
      <c r="AW131" s="14" t="s">
        <v>29</v>
      </c>
      <c r="AX131" s="14" t="s">
        <v>67</v>
      </c>
      <c r="AY131" s="160" t="s">
        <v>106</v>
      </c>
    </row>
    <row r="132" spans="2:51" s="12" customFormat="1" x14ac:dyDescent="0.2">
      <c r="B132" s="144"/>
      <c r="D132" s="145" t="s">
        <v>112</v>
      </c>
      <c r="E132" s="146" t="s">
        <v>18</v>
      </c>
      <c r="F132" s="147" t="s">
        <v>512</v>
      </c>
      <c r="H132" s="148">
        <f>(0.705*0.56*0.41*2)*0.8</f>
        <v>0.25898880000000002</v>
      </c>
      <c r="I132" s="149"/>
      <c r="L132" s="144"/>
      <c r="M132" s="150"/>
      <c r="T132" s="151"/>
      <c r="AT132" s="146" t="s">
        <v>112</v>
      </c>
      <c r="AU132" s="146" t="s">
        <v>77</v>
      </c>
      <c r="AV132" s="12" t="s">
        <v>77</v>
      </c>
      <c r="AW132" s="12" t="s">
        <v>29</v>
      </c>
      <c r="AX132" s="12" t="s">
        <v>67</v>
      </c>
      <c r="AY132" s="146" t="s">
        <v>106</v>
      </c>
    </row>
    <row r="133" spans="2:51" s="14" customFormat="1" x14ac:dyDescent="0.2">
      <c r="B133" s="159"/>
      <c r="D133" s="145" t="s">
        <v>112</v>
      </c>
      <c r="E133" s="160" t="s">
        <v>18</v>
      </c>
      <c r="F133" s="161" t="s">
        <v>366</v>
      </c>
      <c r="H133" s="148"/>
      <c r="I133" s="162"/>
      <c r="L133" s="159"/>
      <c r="M133" s="163"/>
      <c r="T133" s="164"/>
      <c r="AT133" s="160" t="s">
        <v>112</v>
      </c>
      <c r="AU133" s="160" t="s">
        <v>77</v>
      </c>
      <c r="AV133" s="14" t="s">
        <v>75</v>
      </c>
      <c r="AW133" s="14" t="s">
        <v>29</v>
      </c>
      <c r="AX133" s="14" t="s">
        <v>67</v>
      </c>
      <c r="AY133" s="160" t="s">
        <v>106</v>
      </c>
    </row>
    <row r="134" spans="2:51" s="12" customFormat="1" x14ac:dyDescent="0.2">
      <c r="B134" s="144"/>
      <c r="D134" s="145" t="s">
        <v>112</v>
      </c>
      <c r="E134" s="146" t="s">
        <v>18</v>
      </c>
      <c r="F134" s="147" t="s">
        <v>513</v>
      </c>
      <c r="H134" s="148">
        <f>(3.14*0.15*0.15*1)*0.8</f>
        <v>5.6519999999999994E-2</v>
      </c>
      <c r="I134" s="149"/>
      <c r="L134" s="144"/>
      <c r="M134" s="150"/>
      <c r="T134" s="151"/>
      <c r="AT134" s="146" t="s">
        <v>112</v>
      </c>
      <c r="AU134" s="146" t="s">
        <v>77</v>
      </c>
      <c r="AV134" s="12" t="s">
        <v>77</v>
      </c>
      <c r="AW134" s="12" t="s">
        <v>29</v>
      </c>
      <c r="AX134" s="12" t="s">
        <v>67</v>
      </c>
      <c r="AY134" s="146" t="s">
        <v>106</v>
      </c>
    </row>
    <row r="135" spans="2:51" s="14" customFormat="1" x14ac:dyDescent="0.2">
      <c r="B135" s="159"/>
      <c r="D135" s="145" t="s">
        <v>112</v>
      </c>
      <c r="E135" s="160" t="s">
        <v>18</v>
      </c>
      <c r="F135" s="161" t="s">
        <v>381</v>
      </c>
      <c r="H135" s="148"/>
      <c r="I135" s="162"/>
      <c r="L135" s="159"/>
      <c r="M135" s="163"/>
      <c r="T135" s="164"/>
      <c r="AT135" s="160" t="s">
        <v>112</v>
      </c>
      <c r="AU135" s="160" t="s">
        <v>77</v>
      </c>
      <c r="AV135" s="14" t="s">
        <v>75</v>
      </c>
      <c r="AW135" s="14" t="s">
        <v>29</v>
      </c>
      <c r="AX135" s="14" t="s">
        <v>67</v>
      </c>
      <c r="AY135" s="160" t="s">
        <v>106</v>
      </c>
    </row>
    <row r="136" spans="2:51" s="12" customFormat="1" x14ac:dyDescent="0.2">
      <c r="B136" s="144"/>
      <c r="D136" s="145" t="s">
        <v>112</v>
      </c>
      <c r="E136" s="146" t="s">
        <v>18</v>
      </c>
      <c r="F136" s="147" t="s">
        <v>506</v>
      </c>
      <c r="H136" s="148">
        <f>25*(3.14*0.25*0.25*1)+5*(3.14*0.35*0.35*1)+(3.14*0.15*0.14*0.6)+2*(0.3*0.7*0.6)+4*(0.4*0.6*0.6)</f>
        <v>7.6970639999999992</v>
      </c>
      <c r="I136" s="149"/>
      <c r="L136" s="144"/>
      <c r="M136" s="150"/>
      <c r="T136" s="151"/>
      <c r="AT136" s="146" t="s">
        <v>112</v>
      </c>
      <c r="AU136" s="146" t="s">
        <v>77</v>
      </c>
      <c r="AV136" s="12" t="s">
        <v>77</v>
      </c>
      <c r="AW136" s="12" t="s">
        <v>29</v>
      </c>
      <c r="AX136" s="12" t="s">
        <v>67</v>
      </c>
      <c r="AY136" s="146" t="s">
        <v>106</v>
      </c>
    </row>
    <row r="137" spans="2:51" s="14" customFormat="1" x14ac:dyDescent="0.2">
      <c r="B137" s="159"/>
      <c r="D137" s="145" t="s">
        <v>112</v>
      </c>
      <c r="E137" s="160" t="s">
        <v>18</v>
      </c>
      <c r="F137" s="161" t="s">
        <v>382</v>
      </c>
      <c r="H137" s="148"/>
      <c r="I137" s="162"/>
      <c r="L137" s="159"/>
      <c r="M137" s="163"/>
      <c r="T137" s="164"/>
      <c r="AT137" s="160" t="s">
        <v>112</v>
      </c>
      <c r="AU137" s="160" t="s">
        <v>77</v>
      </c>
      <c r="AV137" s="14" t="s">
        <v>75</v>
      </c>
      <c r="AW137" s="14" t="s">
        <v>29</v>
      </c>
      <c r="AX137" s="14" t="s">
        <v>67</v>
      </c>
      <c r="AY137" s="160" t="s">
        <v>106</v>
      </c>
    </row>
    <row r="138" spans="2:51" s="12" customFormat="1" x14ac:dyDescent="0.2">
      <c r="B138" s="144"/>
      <c r="D138" s="145" t="s">
        <v>112</v>
      </c>
      <c r="E138" s="146" t="s">
        <v>18</v>
      </c>
      <c r="F138" s="147" t="s">
        <v>514</v>
      </c>
      <c r="H138" s="148">
        <f>(0.41*0.75*0.56)*0.6</f>
        <v>0.10332000000000001</v>
      </c>
      <c r="I138" s="149"/>
      <c r="L138" s="144"/>
      <c r="M138" s="150"/>
      <c r="T138" s="151"/>
      <c r="AT138" s="146" t="s">
        <v>112</v>
      </c>
      <c r="AU138" s="146" t="s">
        <v>77</v>
      </c>
      <c r="AV138" s="12" t="s">
        <v>77</v>
      </c>
      <c r="AW138" s="12" t="s">
        <v>29</v>
      </c>
      <c r="AX138" s="12" t="s">
        <v>67</v>
      </c>
      <c r="AY138" s="146" t="s">
        <v>106</v>
      </c>
    </row>
    <row r="139" spans="2:51" s="12" customFormat="1" x14ac:dyDescent="0.2">
      <c r="B139" s="144"/>
      <c r="D139" s="145" t="s">
        <v>112</v>
      </c>
      <c r="E139" s="160" t="s">
        <v>18</v>
      </c>
      <c r="F139" s="161" t="s">
        <v>383</v>
      </c>
      <c r="G139" s="14"/>
      <c r="H139" s="148"/>
      <c r="I139" s="149"/>
      <c r="L139" s="144"/>
      <c r="M139" s="150"/>
      <c r="T139" s="151"/>
      <c r="AT139" s="146"/>
      <c r="AU139" s="146"/>
      <c r="AY139" s="146"/>
    </row>
    <row r="140" spans="2:51" s="12" customFormat="1" x14ac:dyDescent="0.2">
      <c r="B140" s="144"/>
      <c r="D140" s="145" t="s">
        <v>112</v>
      </c>
      <c r="E140" s="146" t="s">
        <v>18</v>
      </c>
      <c r="F140" s="147" t="s">
        <v>515</v>
      </c>
      <c r="H140" s="148">
        <f>(3.14*0.2*0.2*0.9)*0.8</f>
        <v>9.0432000000000012E-2</v>
      </c>
      <c r="I140" s="149"/>
      <c r="L140" s="144"/>
      <c r="M140" s="150"/>
      <c r="T140" s="151"/>
      <c r="AT140" s="146"/>
      <c r="AU140" s="146"/>
      <c r="AY140" s="146"/>
    </row>
    <row r="141" spans="2:51" s="12" customFormat="1" x14ac:dyDescent="0.2">
      <c r="B141" s="144"/>
      <c r="D141" s="145" t="s">
        <v>112</v>
      </c>
      <c r="E141" s="160" t="s">
        <v>18</v>
      </c>
      <c r="F141" s="161" t="s">
        <v>384</v>
      </c>
      <c r="G141" s="14"/>
      <c r="H141" s="148"/>
      <c r="I141" s="149"/>
      <c r="L141" s="144"/>
      <c r="M141" s="150"/>
      <c r="T141" s="151"/>
      <c r="AT141" s="146"/>
      <c r="AU141" s="146"/>
      <c r="AY141" s="146"/>
    </row>
    <row r="142" spans="2:51" s="12" customFormat="1" x14ac:dyDescent="0.2">
      <c r="B142" s="144"/>
      <c r="D142" s="145" t="s">
        <v>112</v>
      </c>
      <c r="E142" s="146" t="s">
        <v>18</v>
      </c>
      <c r="F142" s="147" t="s">
        <v>516</v>
      </c>
      <c r="H142" s="148">
        <f>(5*3.14*0.2*0.2*1)*0.8</f>
        <v>0.50240000000000007</v>
      </c>
      <c r="I142" s="149"/>
      <c r="L142" s="144"/>
      <c r="M142" s="150"/>
      <c r="T142" s="151"/>
      <c r="AT142" s="146"/>
      <c r="AU142" s="146"/>
      <c r="AY142" s="146"/>
    </row>
    <row r="143" spans="2:51" s="12" customFormat="1" x14ac:dyDescent="0.2">
      <c r="B143" s="144"/>
      <c r="D143" s="145" t="s">
        <v>112</v>
      </c>
      <c r="E143" s="160" t="s">
        <v>18</v>
      </c>
      <c r="F143" s="161" t="s">
        <v>385</v>
      </c>
      <c r="G143" s="14"/>
      <c r="H143" s="148"/>
      <c r="I143" s="149"/>
      <c r="L143" s="144"/>
      <c r="M143" s="150"/>
      <c r="T143" s="151"/>
      <c r="AT143" s="146"/>
      <c r="AU143" s="146"/>
      <c r="AY143" s="146"/>
    </row>
    <row r="144" spans="2:51" s="12" customFormat="1" x14ac:dyDescent="0.2">
      <c r="B144" s="144"/>
      <c r="D144" s="145" t="s">
        <v>112</v>
      </c>
      <c r="E144" s="146" t="s">
        <v>18</v>
      </c>
      <c r="F144" s="147" t="s">
        <v>517</v>
      </c>
      <c r="H144" s="148">
        <f>(2*3.14*0.2*0.2*1)*0.8</f>
        <v>0.20096000000000003</v>
      </c>
      <c r="I144" s="149"/>
      <c r="L144" s="144"/>
      <c r="M144" s="150"/>
      <c r="T144" s="151"/>
      <c r="AT144" s="146"/>
      <c r="AU144" s="146"/>
      <c r="AY144" s="146"/>
    </row>
    <row r="145" spans="2:65" s="12" customFormat="1" x14ac:dyDescent="0.2">
      <c r="B145" s="144"/>
      <c r="D145" s="145" t="s">
        <v>112</v>
      </c>
      <c r="E145" s="160" t="s">
        <v>18</v>
      </c>
      <c r="F145" s="161" t="s">
        <v>386</v>
      </c>
      <c r="G145" s="14"/>
      <c r="H145" s="148"/>
      <c r="I145" s="149"/>
      <c r="L145" s="144"/>
      <c r="M145" s="150"/>
      <c r="T145" s="151"/>
      <c r="AT145" s="146"/>
      <c r="AU145" s="146"/>
      <c r="AY145" s="146"/>
    </row>
    <row r="146" spans="2:65" s="12" customFormat="1" x14ac:dyDescent="0.2">
      <c r="B146" s="144"/>
      <c r="D146" s="145" t="s">
        <v>112</v>
      </c>
      <c r="E146" s="146" t="s">
        <v>18</v>
      </c>
      <c r="F146" s="147" t="s">
        <v>518</v>
      </c>
      <c r="H146" s="148">
        <f>2*0.8*(3.14*0.15*0.15*1)+0.3*0.3*0.6*0.8</f>
        <v>0.15623999999999999</v>
      </c>
      <c r="I146" s="149"/>
      <c r="L146" s="144"/>
      <c r="M146" s="150"/>
      <c r="T146" s="151"/>
      <c r="AT146" s="146"/>
      <c r="AU146" s="146"/>
      <c r="AY146" s="146"/>
    </row>
    <row r="147" spans="2:65" s="12" customFormat="1" x14ac:dyDescent="0.2">
      <c r="B147" s="144"/>
      <c r="D147" s="145" t="s">
        <v>112</v>
      </c>
      <c r="E147" s="160" t="s">
        <v>18</v>
      </c>
      <c r="F147" s="161" t="s">
        <v>509</v>
      </c>
      <c r="G147" s="14"/>
      <c r="H147" s="148"/>
      <c r="I147" s="149"/>
      <c r="L147" s="144"/>
      <c r="M147" s="150"/>
      <c r="T147" s="151"/>
      <c r="AT147" s="146"/>
      <c r="AU147" s="146"/>
      <c r="AY147" s="146"/>
    </row>
    <row r="148" spans="2:65" s="12" customFormat="1" x14ac:dyDescent="0.2">
      <c r="B148" s="144"/>
      <c r="D148" s="145" t="s">
        <v>112</v>
      </c>
      <c r="E148" s="146" t="s">
        <v>18</v>
      </c>
      <c r="F148" s="147" t="s">
        <v>519</v>
      </c>
      <c r="H148" s="148">
        <f>6*(3.14*0.3*0.3*1)*0.8</f>
        <v>1.3564799999999999</v>
      </c>
      <c r="I148" s="149"/>
      <c r="L148" s="144"/>
      <c r="M148" s="150"/>
      <c r="T148" s="151"/>
      <c r="AT148" s="146"/>
      <c r="AU148" s="146"/>
      <c r="AY148" s="146"/>
    </row>
    <row r="149" spans="2:65" s="13" customFormat="1" x14ac:dyDescent="0.2">
      <c r="B149" s="152"/>
      <c r="D149" s="145" t="s">
        <v>112</v>
      </c>
      <c r="E149" s="153" t="s">
        <v>18</v>
      </c>
      <c r="F149" s="154" t="s">
        <v>113</v>
      </c>
      <c r="H149" s="155">
        <f>SUM(H126:H148)</f>
        <v>22.392404800000001</v>
      </c>
      <c r="I149" s="156"/>
      <c r="L149" s="152"/>
      <c r="M149" s="157"/>
      <c r="T149" s="158"/>
      <c r="AT149" s="153" t="s">
        <v>112</v>
      </c>
      <c r="AU149" s="153" t="s">
        <v>77</v>
      </c>
      <c r="AV149" s="13" t="s">
        <v>110</v>
      </c>
      <c r="AW149" s="13" t="s">
        <v>29</v>
      </c>
      <c r="AX149" s="13" t="s">
        <v>75</v>
      </c>
      <c r="AY149" s="153" t="s">
        <v>106</v>
      </c>
    </row>
    <row r="150" spans="2:65" s="1" customFormat="1" ht="16.5" customHeight="1" x14ac:dyDescent="0.2">
      <c r="B150" s="32"/>
      <c r="C150" s="127"/>
      <c r="D150" s="127" t="s">
        <v>108</v>
      </c>
      <c r="E150" s="128" t="s">
        <v>117</v>
      </c>
      <c r="F150" s="129" t="s">
        <v>362</v>
      </c>
      <c r="G150" s="130" t="s">
        <v>114</v>
      </c>
      <c r="H150" s="131">
        <f>H152</f>
        <v>22.392404800000001</v>
      </c>
      <c r="I150" s="132"/>
      <c r="J150" s="133">
        <f>ROUND(I150*H150,2)</f>
        <v>0</v>
      </c>
      <c r="K150" s="129" t="s">
        <v>412</v>
      </c>
      <c r="L150" s="32"/>
      <c r="M150" s="134" t="s">
        <v>18</v>
      </c>
      <c r="N150" s="135" t="s">
        <v>38</v>
      </c>
      <c r="P150" s="136">
        <f>O150*H150</f>
        <v>0</v>
      </c>
      <c r="Q150" s="136">
        <v>0</v>
      </c>
      <c r="R150" s="136">
        <f>Q150*H150</f>
        <v>0</v>
      </c>
      <c r="S150" s="136">
        <v>0</v>
      </c>
      <c r="T150" s="137">
        <f>S150*H150</f>
        <v>0</v>
      </c>
      <c r="AR150" s="138" t="s">
        <v>110</v>
      </c>
      <c r="AT150" s="138" t="s">
        <v>108</v>
      </c>
      <c r="AU150" s="138" t="s">
        <v>77</v>
      </c>
      <c r="AY150" s="17" t="s">
        <v>106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7" t="s">
        <v>75</v>
      </c>
      <c r="BK150" s="139">
        <f>ROUND(I150*H150,2)</f>
        <v>0</v>
      </c>
      <c r="BL150" s="17" t="s">
        <v>110</v>
      </c>
      <c r="BM150" s="138" t="s">
        <v>118</v>
      </c>
    </row>
    <row r="151" spans="2:65" s="12" customFormat="1" x14ac:dyDescent="0.2">
      <c r="B151" s="144"/>
      <c r="D151" s="145" t="s">
        <v>112</v>
      </c>
      <c r="E151" s="146"/>
      <c r="F151" s="265">
        <f>H149</f>
        <v>22.392404800000001</v>
      </c>
      <c r="H151" s="148">
        <f>H149</f>
        <v>22.392404800000001</v>
      </c>
      <c r="I151" s="149"/>
      <c r="L151" s="144"/>
      <c r="M151" s="150"/>
      <c r="T151" s="151"/>
      <c r="AT151" s="146"/>
      <c r="AU151" s="146"/>
      <c r="AY151" s="146"/>
    </row>
    <row r="152" spans="2:65" s="13" customFormat="1" x14ac:dyDescent="0.2">
      <c r="B152" s="152"/>
      <c r="D152" s="145" t="s">
        <v>112</v>
      </c>
      <c r="E152" s="153" t="s">
        <v>18</v>
      </c>
      <c r="F152" s="154" t="s">
        <v>113</v>
      </c>
      <c r="H152" s="155">
        <f>H151</f>
        <v>22.392404800000001</v>
      </c>
      <c r="I152" s="156"/>
      <c r="L152" s="152"/>
      <c r="M152" s="157"/>
      <c r="T152" s="158"/>
      <c r="AT152" s="153" t="s">
        <v>112</v>
      </c>
      <c r="AU152" s="153" t="s">
        <v>77</v>
      </c>
      <c r="AV152" s="13" t="s">
        <v>110</v>
      </c>
      <c r="AW152" s="13" t="s">
        <v>29</v>
      </c>
      <c r="AX152" s="13" t="s">
        <v>75</v>
      </c>
      <c r="AY152" s="153" t="s">
        <v>106</v>
      </c>
    </row>
    <row r="153" spans="2:65" s="12" customFormat="1" ht="15" customHeight="1" x14ac:dyDescent="0.2">
      <c r="B153" s="144"/>
      <c r="C153" s="268"/>
      <c r="D153" s="268" t="s">
        <v>108</v>
      </c>
      <c r="E153" s="279" t="s">
        <v>376</v>
      </c>
      <c r="F153" s="269" t="s">
        <v>377</v>
      </c>
      <c r="G153" s="270" t="s">
        <v>114</v>
      </c>
      <c r="H153" s="271">
        <f>H155</f>
        <v>7.3</v>
      </c>
      <c r="I153" s="132"/>
      <c r="J153" s="272">
        <f>ROUND(I153*H153,2)</f>
        <v>0</v>
      </c>
      <c r="K153" s="129" t="s">
        <v>412</v>
      </c>
      <c r="L153" s="144"/>
      <c r="M153" s="150"/>
      <c r="T153" s="151"/>
      <c r="AT153" s="146"/>
      <c r="AU153" s="146"/>
      <c r="AY153" s="146"/>
    </row>
    <row r="154" spans="2:65" s="12" customFormat="1" ht="12" x14ac:dyDescent="0.2">
      <c r="B154" s="144"/>
      <c r="C154" s="273"/>
      <c r="D154" s="145" t="s">
        <v>112</v>
      </c>
      <c r="E154" s="280" t="s">
        <v>18</v>
      </c>
      <c r="F154" s="161" t="s">
        <v>378</v>
      </c>
      <c r="G154" s="14"/>
      <c r="H154" s="160" t="s">
        <v>18</v>
      </c>
      <c r="I154" s="162"/>
      <c r="J154" s="264"/>
      <c r="K154" s="11"/>
      <c r="L154" s="144"/>
      <c r="M154" s="150"/>
      <c r="T154" s="151"/>
      <c r="AT154" s="146"/>
      <c r="AU154" s="146"/>
      <c r="AY154" s="146"/>
    </row>
    <row r="155" spans="2:65" s="12" customFormat="1" ht="12" x14ac:dyDescent="0.2">
      <c r="B155" s="144"/>
      <c r="C155" s="273"/>
      <c r="D155" s="145" t="s">
        <v>112</v>
      </c>
      <c r="E155" s="146" t="s">
        <v>18</v>
      </c>
      <c r="F155" s="147" t="s">
        <v>503</v>
      </c>
      <c r="H155" s="148">
        <f>2.8+0.8+1.2+0.4+0.8+0.8+0.5</f>
        <v>7.3</v>
      </c>
      <c r="I155" s="149"/>
      <c r="J155" s="264"/>
      <c r="K155" s="11"/>
      <c r="L155" s="144"/>
      <c r="M155" s="150"/>
      <c r="T155" s="151"/>
      <c r="AT155" s="146"/>
      <c r="AU155" s="146"/>
      <c r="AY155" s="146"/>
    </row>
    <row r="156" spans="2:65" s="12" customFormat="1" x14ac:dyDescent="0.2">
      <c r="B156" s="144"/>
      <c r="D156" s="145" t="s">
        <v>112</v>
      </c>
      <c r="E156" s="153" t="s">
        <v>18</v>
      </c>
      <c r="F156" s="154" t="s">
        <v>113</v>
      </c>
      <c r="G156" s="13"/>
      <c r="H156" s="155">
        <f>H155</f>
        <v>7.3</v>
      </c>
      <c r="I156" s="156"/>
      <c r="K156" s="11"/>
      <c r="L156" s="144"/>
      <c r="M156" s="150"/>
      <c r="T156" s="151"/>
      <c r="AT156" s="146"/>
      <c r="AU156" s="146"/>
      <c r="AY156" s="146"/>
    </row>
    <row r="157" spans="2:65" s="12" customFormat="1" ht="15" customHeight="1" x14ac:dyDescent="0.2">
      <c r="B157" s="144"/>
      <c r="C157" s="127"/>
      <c r="D157" s="127"/>
      <c r="E157" s="128" t="s">
        <v>360</v>
      </c>
      <c r="F157" s="129" t="s">
        <v>359</v>
      </c>
      <c r="G157" s="130" t="s">
        <v>143</v>
      </c>
      <c r="H157" s="131">
        <f>H162</f>
        <v>125.96577564</v>
      </c>
      <c r="I157" s="132"/>
      <c r="J157" s="133">
        <f>I157*H157</f>
        <v>0</v>
      </c>
      <c r="K157" s="129" t="s">
        <v>412</v>
      </c>
      <c r="L157" s="144"/>
      <c r="M157" s="150"/>
      <c r="T157" s="151"/>
      <c r="AT157" s="146"/>
      <c r="AU157" s="146"/>
      <c r="AY157" s="146"/>
    </row>
    <row r="158" spans="2:65" s="12" customFormat="1" ht="12" x14ac:dyDescent="0.2">
      <c r="B158" s="144"/>
      <c r="C158" s="261"/>
      <c r="D158" s="145" t="s">
        <v>112</v>
      </c>
      <c r="E158" s="146" t="s">
        <v>18</v>
      </c>
      <c r="F158" s="265">
        <f>H155*2.4</f>
        <v>17.52</v>
      </c>
      <c r="H158" s="148">
        <f>F158</f>
        <v>17.52</v>
      </c>
      <c r="I158" s="264"/>
      <c r="J158" s="263"/>
      <c r="K158" s="262"/>
      <c r="L158" s="144"/>
      <c r="M158" s="150"/>
      <c r="T158" s="151"/>
      <c r="AT158" s="146"/>
      <c r="AU158" s="146"/>
      <c r="AY158" s="146"/>
    </row>
    <row r="159" spans="2:65" s="12" customFormat="1" ht="12" x14ac:dyDescent="0.2">
      <c r="B159" s="144"/>
      <c r="C159" s="261"/>
      <c r="D159" s="145" t="s">
        <v>112</v>
      </c>
      <c r="E159" s="146" t="s">
        <v>18</v>
      </c>
      <c r="F159" s="265">
        <f>H149*1.8</f>
        <v>40.306328640000004</v>
      </c>
      <c r="H159" s="148">
        <f>F159</f>
        <v>40.306328640000004</v>
      </c>
      <c r="I159" s="264"/>
      <c r="J159" s="263"/>
      <c r="K159" s="262"/>
      <c r="L159" s="144"/>
      <c r="M159" s="150"/>
      <c r="T159" s="151"/>
      <c r="AT159" s="146"/>
      <c r="AU159" s="146"/>
      <c r="AY159" s="146"/>
    </row>
    <row r="160" spans="2:65" s="12" customFormat="1" ht="12" x14ac:dyDescent="0.2">
      <c r="B160" s="144"/>
      <c r="C160" s="261"/>
      <c r="D160" s="145" t="s">
        <v>112</v>
      </c>
      <c r="E160" s="146"/>
      <c r="F160" s="265">
        <f>H174</f>
        <v>27.72</v>
      </c>
      <c r="H160" s="148">
        <f>F160</f>
        <v>27.72</v>
      </c>
      <c r="I160" s="264"/>
      <c r="J160" s="263"/>
      <c r="K160" s="262"/>
      <c r="L160" s="144"/>
      <c r="M160" s="150"/>
      <c r="T160" s="151"/>
      <c r="AT160" s="146"/>
      <c r="AU160" s="146"/>
      <c r="AY160" s="146"/>
    </row>
    <row r="161" spans="2:65" s="12" customFormat="1" ht="12" x14ac:dyDescent="0.2">
      <c r="B161" s="144"/>
      <c r="C161" s="261"/>
      <c r="D161" s="145" t="s">
        <v>112</v>
      </c>
      <c r="E161" s="146"/>
      <c r="F161" s="265">
        <f>H122*1.5</f>
        <v>40.419446999999998</v>
      </c>
      <c r="H161" s="148">
        <f>F161</f>
        <v>40.419446999999998</v>
      </c>
      <c r="I161" s="264"/>
      <c r="J161" s="263"/>
      <c r="K161" s="262"/>
      <c r="L161" s="144"/>
      <c r="M161" s="150"/>
      <c r="T161" s="151"/>
      <c r="AT161" s="146"/>
      <c r="AU161" s="146"/>
      <c r="AY161" s="146"/>
    </row>
    <row r="162" spans="2:65" s="12" customFormat="1" ht="12" x14ac:dyDescent="0.2">
      <c r="B162" s="144"/>
      <c r="C162" s="261"/>
      <c r="D162" s="145" t="s">
        <v>112</v>
      </c>
      <c r="E162" s="153" t="s">
        <v>18</v>
      </c>
      <c r="F162" s="154" t="s">
        <v>113</v>
      </c>
      <c r="G162" s="13"/>
      <c r="H162" s="155">
        <f>H158+H159+H160+H161</f>
        <v>125.96577564</v>
      </c>
      <c r="I162" s="264"/>
      <c r="J162" s="263"/>
      <c r="K162" s="262"/>
      <c r="L162" s="144"/>
      <c r="M162" s="150"/>
      <c r="T162" s="151"/>
      <c r="AT162" s="146"/>
      <c r="AU162" s="146"/>
      <c r="AY162" s="146"/>
    </row>
    <row r="163" spans="2:65" s="1" customFormat="1" ht="15" customHeight="1" x14ac:dyDescent="0.2">
      <c r="B163" s="32"/>
      <c r="C163" s="127"/>
      <c r="D163" s="127"/>
      <c r="E163" s="128" t="s">
        <v>537</v>
      </c>
      <c r="F163" s="129" t="s">
        <v>361</v>
      </c>
      <c r="G163" s="130" t="s">
        <v>143</v>
      </c>
      <c r="H163" s="131">
        <f>H165</f>
        <v>503.86310256000002</v>
      </c>
      <c r="I163" s="132"/>
      <c r="J163" s="133">
        <f>I163*H163</f>
        <v>0</v>
      </c>
      <c r="K163" s="129" t="s">
        <v>412</v>
      </c>
      <c r="L163" s="32"/>
      <c r="M163" s="274" t="s">
        <v>18</v>
      </c>
      <c r="N163" s="135" t="s">
        <v>38</v>
      </c>
      <c r="P163" s="136">
        <f>O163*H163</f>
        <v>0</v>
      </c>
      <c r="Q163" s="136">
        <v>0</v>
      </c>
      <c r="R163" s="136">
        <f>Q163*H163</f>
        <v>0</v>
      </c>
      <c r="S163" s="136">
        <v>0</v>
      </c>
      <c r="T163" s="137">
        <f>S163*H163</f>
        <v>0</v>
      </c>
      <c r="AR163" s="138" t="s">
        <v>110</v>
      </c>
      <c r="AT163" s="138" t="s">
        <v>108</v>
      </c>
      <c r="AU163" s="138" t="s">
        <v>77</v>
      </c>
      <c r="AY163" s="17" t="s">
        <v>106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7" t="s">
        <v>75</v>
      </c>
      <c r="BK163" s="139">
        <f>ROUND(I163*H163,2)</f>
        <v>0</v>
      </c>
      <c r="BL163" s="17" t="s">
        <v>110</v>
      </c>
      <c r="BM163" s="138" t="s">
        <v>124</v>
      </c>
    </row>
    <row r="164" spans="2:65" s="1" customFormat="1" ht="11.25" customHeight="1" x14ac:dyDescent="0.2">
      <c r="B164" s="32"/>
      <c r="C164" s="261"/>
      <c r="D164" s="145" t="s">
        <v>112</v>
      </c>
      <c r="E164" s="146" t="s">
        <v>18</v>
      </c>
      <c r="F164" s="265">
        <f>H162*4</f>
        <v>503.86310256000002</v>
      </c>
      <c r="G164" s="12"/>
      <c r="H164" s="148">
        <f>F164</f>
        <v>503.86310256000002</v>
      </c>
      <c r="I164" s="264"/>
      <c r="J164" s="263"/>
      <c r="K164" s="262"/>
      <c r="L164" s="32"/>
      <c r="M164" s="274"/>
      <c r="N164" s="135"/>
      <c r="P164" s="136"/>
      <c r="Q164" s="136"/>
      <c r="R164" s="136"/>
      <c r="S164" s="136"/>
      <c r="T164" s="137"/>
      <c r="AR164" s="138"/>
      <c r="AT164" s="138"/>
      <c r="AU164" s="138"/>
      <c r="AY164" s="17"/>
      <c r="BE164" s="139"/>
      <c r="BF164" s="139"/>
      <c r="BG164" s="139"/>
      <c r="BH164" s="139"/>
      <c r="BI164" s="139"/>
      <c r="BJ164" s="17"/>
      <c r="BK164" s="139"/>
      <c r="BL164" s="17"/>
      <c r="BM164" s="138"/>
    </row>
    <row r="165" spans="2:65" s="1" customFormat="1" ht="11.25" customHeight="1" x14ac:dyDescent="0.2">
      <c r="B165" s="32"/>
      <c r="C165" s="261"/>
      <c r="D165" s="145" t="s">
        <v>112</v>
      </c>
      <c r="E165" s="153" t="s">
        <v>18</v>
      </c>
      <c r="F165" s="154" t="s">
        <v>113</v>
      </c>
      <c r="G165" s="13"/>
      <c r="H165" s="155">
        <f>H164</f>
        <v>503.86310256000002</v>
      </c>
      <c r="I165" s="264"/>
      <c r="J165" s="263"/>
      <c r="K165" s="262"/>
      <c r="L165" s="32"/>
      <c r="M165" s="274"/>
      <c r="N165" s="135"/>
      <c r="P165" s="136"/>
      <c r="Q165" s="136"/>
      <c r="R165" s="136"/>
      <c r="S165" s="136"/>
      <c r="T165" s="137"/>
      <c r="AR165" s="138"/>
      <c r="AT165" s="138"/>
      <c r="AU165" s="138"/>
      <c r="AY165" s="17"/>
      <c r="BE165" s="139"/>
      <c r="BF165" s="139"/>
      <c r="BG165" s="139"/>
      <c r="BH165" s="139"/>
      <c r="BI165" s="139"/>
      <c r="BJ165" s="17"/>
      <c r="BK165" s="139"/>
      <c r="BL165" s="17"/>
      <c r="BM165" s="138"/>
    </row>
    <row r="166" spans="2:65" s="1" customFormat="1" ht="16.5" customHeight="1" x14ac:dyDescent="0.2">
      <c r="B166" s="32"/>
      <c r="C166" s="127"/>
      <c r="D166" s="165"/>
      <c r="E166" s="128" t="s">
        <v>354</v>
      </c>
      <c r="F166" s="129" t="s">
        <v>353</v>
      </c>
      <c r="G166" s="130" t="s">
        <v>143</v>
      </c>
      <c r="H166" s="131">
        <f>H168</f>
        <v>91.2</v>
      </c>
      <c r="I166" s="132"/>
      <c r="J166" s="133">
        <f>I166*H166</f>
        <v>0</v>
      </c>
      <c r="K166" s="129" t="s">
        <v>412</v>
      </c>
      <c r="L166" s="32"/>
      <c r="M166" s="274"/>
      <c r="N166" s="135"/>
      <c r="P166" s="136"/>
      <c r="Q166" s="136"/>
      <c r="R166" s="136"/>
      <c r="S166" s="136"/>
      <c r="T166" s="137"/>
      <c r="AR166" s="138"/>
      <c r="AT166" s="138"/>
      <c r="AU166" s="138"/>
      <c r="AY166" s="17"/>
      <c r="BE166" s="139"/>
      <c r="BF166" s="139"/>
      <c r="BG166" s="139"/>
      <c r="BH166" s="139"/>
      <c r="BI166" s="139"/>
      <c r="BJ166" s="17"/>
      <c r="BK166" s="139"/>
      <c r="BL166" s="17"/>
      <c r="BM166" s="138"/>
    </row>
    <row r="167" spans="2:65" s="1" customFormat="1" ht="12" customHeight="1" x14ac:dyDescent="0.2">
      <c r="B167" s="32"/>
      <c r="C167" s="12"/>
      <c r="D167" s="145" t="s">
        <v>112</v>
      </c>
      <c r="E167" s="146" t="s">
        <v>18</v>
      </c>
      <c r="F167" s="265">
        <f>F159</f>
        <v>40.306328640000004</v>
      </c>
      <c r="G167" s="12"/>
      <c r="H167" s="148">
        <f>63+28.2</f>
        <v>91.2</v>
      </c>
      <c r="I167" s="149"/>
      <c r="J167" s="12"/>
      <c r="K167" s="12"/>
      <c r="L167" s="32"/>
      <c r="M167" s="134"/>
      <c r="N167" s="135"/>
      <c r="P167" s="136"/>
      <c r="Q167" s="136"/>
      <c r="R167" s="136"/>
      <c r="S167" s="136"/>
      <c r="T167" s="137"/>
      <c r="AR167" s="138"/>
      <c r="AT167" s="138"/>
      <c r="AU167" s="138"/>
      <c r="AY167" s="17"/>
      <c r="BE167" s="139"/>
      <c r="BF167" s="139"/>
      <c r="BG167" s="139"/>
      <c r="BH167" s="139"/>
      <c r="BI167" s="139"/>
      <c r="BJ167" s="17"/>
      <c r="BK167" s="139"/>
      <c r="BL167" s="17"/>
      <c r="BM167" s="138"/>
    </row>
    <row r="168" spans="2:65" s="1" customFormat="1" ht="11.25" customHeight="1" x14ac:dyDescent="0.2">
      <c r="B168" s="32"/>
      <c r="C168" s="13"/>
      <c r="D168" s="145" t="s">
        <v>112</v>
      </c>
      <c r="E168" s="153" t="s">
        <v>18</v>
      </c>
      <c r="F168" s="154" t="s">
        <v>113</v>
      </c>
      <c r="G168" s="13"/>
      <c r="H168" s="155">
        <f>H167</f>
        <v>91.2</v>
      </c>
      <c r="I168" s="156"/>
      <c r="J168" s="13"/>
      <c r="K168" s="13"/>
      <c r="L168" s="32"/>
      <c r="M168" s="143"/>
      <c r="T168" s="53"/>
      <c r="AT168" s="17" t="s">
        <v>111</v>
      </c>
      <c r="AU168" s="17" t="s">
        <v>77</v>
      </c>
    </row>
    <row r="169" spans="2:65" s="1" customFormat="1" ht="16.5" customHeight="1" x14ac:dyDescent="0.2">
      <c r="B169" s="32"/>
      <c r="C169" s="127"/>
      <c r="D169" s="165"/>
      <c r="E169" s="128" t="s">
        <v>399</v>
      </c>
      <c r="F169" s="129" t="s">
        <v>398</v>
      </c>
      <c r="G169" s="130" t="s">
        <v>143</v>
      </c>
      <c r="H169" s="131">
        <f>H171</f>
        <v>17.52</v>
      </c>
      <c r="I169" s="132"/>
      <c r="J169" s="133">
        <f>I169*H169</f>
        <v>0</v>
      </c>
      <c r="K169" s="129" t="s">
        <v>412</v>
      </c>
      <c r="L169" s="32"/>
      <c r="M169" s="143"/>
      <c r="T169" s="53"/>
      <c r="AT169" s="17"/>
      <c r="AU169" s="17"/>
    </row>
    <row r="170" spans="2:65" s="1" customFormat="1" ht="11.25" customHeight="1" x14ac:dyDescent="0.2">
      <c r="B170" s="32"/>
      <c r="C170" s="12"/>
      <c r="D170" s="145" t="s">
        <v>112</v>
      </c>
      <c r="E170" s="146" t="s">
        <v>18</v>
      </c>
      <c r="F170" s="265">
        <f>H158</f>
        <v>17.52</v>
      </c>
      <c r="G170" s="12"/>
      <c r="H170" s="148">
        <f>F170</f>
        <v>17.52</v>
      </c>
      <c r="I170" s="149"/>
      <c r="J170" s="12"/>
      <c r="K170" s="12"/>
      <c r="L170" s="32"/>
      <c r="M170" s="143"/>
      <c r="T170" s="53"/>
      <c r="AT170" s="17"/>
      <c r="AU170" s="17"/>
    </row>
    <row r="171" spans="2:65" s="1" customFormat="1" ht="11.25" customHeight="1" x14ac:dyDescent="0.2">
      <c r="B171" s="32"/>
      <c r="C171" s="13"/>
      <c r="D171" s="145" t="s">
        <v>112</v>
      </c>
      <c r="E171" s="153" t="s">
        <v>18</v>
      </c>
      <c r="F171" s="154" t="s">
        <v>113</v>
      </c>
      <c r="G171" s="13"/>
      <c r="H171" s="155">
        <f>H170</f>
        <v>17.52</v>
      </c>
      <c r="I171" s="156"/>
      <c r="J171" s="13"/>
      <c r="K171" s="13"/>
      <c r="L171" s="32"/>
      <c r="M171" s="143"/>
      <c r="T171" s="53"/>
      <c r="AT171" s="17"/>
      <c r="AU171" s="17"/>
    </row>
    <row r="172" spans="2:65" s="1" customFormat="1" ht="15" customHeight="1" x14ac:dyDescent="0.2">
      <c r="B172" s="32"/>
      <c r="C172" s="127"/>
      <c r="D172" s="165"/>
      <c r="E172" s="128" t="s">
        <v>414</v>
      </c>
      <c r="F172" s="129" t="s">
        <v>413</v>
      </c>
      <c r="G172" s="130" t="s">
        <v>143</v>
      </c>
      <c r="H172" s="131">
        <f t="shared" ref="H172" si="0">H174</f>
        <v>27.72</v>
      </c>
      <c r="I172" s="132"/>
      <c r="J172" s="133">
        <f t="shared" ref="J172" si="1">I172*H172</f>
        <v>0</v>
      </c>
      <c r="K172" s="129" t="s">
        <v>412</v>
      </c>
      <c r="L172" s="32"/>
      <c r="M172" s="143"/>
      <c r="T172" s="53"/>
      <c r="AT172" s="17"/>
      <c r="AU172" s="17"/>
    </row>
    <row r="173" spans="2:65" s="1" customFormat="1" ht="11.25" customHeight="1" x14ac:dyDescent="0.2">
      <c r="B173" s="32"/>
      <c r="C173" s="12"/>
      <c r="D173" s="145" t="s">
        <v>112</v>
      </c>
      <c r="E173" s="146" t="s">
        <v>18</v>
      </c>
      <c r="F173" s="265" t="s">
        <v>532</v>
      </c>
      <c r="G173" s="12"/>
      <c r="H173" s="148">
        <f>0.055*504</f>
        <v>27.72</v>
      </c>
      <c r="I173" s="149"/>
      <c r="J173" s="12"/>
      <c r="K173" s="12"/>
      <c r="L173" s="32"/>
      <c r="M173" s="143"/>
      <c r="T173" s="53"/>
      <c r="AT173" s="17"/>
      <c r="AU173" s="17"/>
    </row>
    <row r="174" spans="2:65" s="1" customFormat="1" ht="11.25" customHeight="1" x14ac:dyDescent="0.2">
      <c r="B174" s="32"/>
      <c r="C174" s="13"/>
      <c r="D174" s="145" t="s">
        <v>112</v>
      </c>
      <c r="E174" s="153" t="s">
        <v>18</v>
      </c>
      <c r="F174" s="154" t="s">
        <v>113</v>
      </c>
      <c r="G174" s="13"/>
      <c r="H174" s="155">
        <f t="shared" ref="H174" si="2">H173</f>
        <v>27.72</v>
      </c>
      <c r="I174" s="156"/>
      <c r="J174" s="13"/>
      <c r="K174" s="13"/>
      <c r="L174" s="32"/>
      <c r="M174" s="143"/>
      <c r="T174" s="53"/>
      <c r="AT174" s="17"/>
      <c r="AU174" s="17"/>
    </row>
    <row r="175" spans="2:65" s="11" customFormat="1" ht="22.9" customHeight="1" x14ac:dyDescent="0.2">
      <c r="B175" s="115"/>
      <c r="D175" s="116" t="s">
        <v>66</v>
      </c>
      <c r="E175" s="125" t="s">
        <v>77</v>
      </c>
      <c r="F175" s="125" t="s">
        <v>125</v>
      </c>
      <c r="I175" s="118"/>
      <c r="J175" s="126">
        <f>SUM(J176:J198)</f>
        <v>0</v>
      </c>
      <c r="L175" s="115"/>
      <c r="M175" s="120"/>
      <c r="P175" s="121">
        <f>SUM(P176:P197)</f>
        <v>0</v>
      </c>
      <c r="R175" s="121">
        <f>SUM(R176:R197)</f>
        <v>14.435368630000001</v>
      </c>
      <c r="T175" s="122">
        <f>SUM(T176:T197)</f>
        <v>0</v>
      </c>
      <c r="AR175" s="116" t="s">
        <v>75</v>
      </c>
      <c r="AT175" s="123" t="s">
        <v>66</v>
      </c>
      <c r="AU175" s="123" t="s">
        <v>75</v>
      </c>
      <c r="AY175" s="116" t="s">
        <v>106</v>
      </c>
      <c r="BK175" s="124">
        <f>SUM(BK176:BK197)</f>
        <v>0</v>
      </c>
    </row>
    <row r="176" spans="2:65" s="1" customFormat="1" ht="24.2" customHeight="1" x14ac:dyDescent="0.2">
      <c r="B176" s="32"/>
      <c r="C176" s="127"/>
      <c r="D176" s="127" t="s">
        <v>108</v>
      </c>
      <c r="E176" s="277" t="s">
        <v>126</v>
      </c>
      <c r="F176" s="129" t="s">
        <v>127</v>
      </c>
      <c r="G176" s="130" t="s">
        <v>109</v>
      </c>
      <c r="H176" s="131">
        <f>H178</f>
        <v>130.29500000000002</v>
      </c>
      <c r="I176" s="132"/>
      <c r="J176" s="133">
        <f>ROUND(I176*H176,2)</f>
        <v>0</v>
      </c>
      <c r="K176" s="129" t="s">
        <v>412</v>
      </c>
      <c r="L176" s="32"/>
      <c r="M176" s="134" t="s">
        <v>18</v>
      </c>
      <c r="N176" s="135" t="s">
        <v>38</v>
      </c>
      <c r="P176" s="136">
        <f>O176*H176</f>
        <v>0</v>
      </c>
      <c r="Q176" s="136">
        <v>1E-4</v>
      </c>
      <c r="R176" s="136">
        <f>Q176*H176</f>
        <v>1.3029500000000003E-2</v>
      </c>
      <c r="S176" s="136">
        <v>0</v>
      </c>
      <c r="T176" s="137">
        <f>S176*H176</f>
        <v>0</v>
      </c>
      <c r="AR176" s="138" t="s">
        <v>110</v>
      </c>
      <c r="AT176" s="138" t="s">
        <v>108</v>
      </c>
      <c r="AU176" s="138" t="s">
        <v>77</v>
      </c>
      <c r="AY176" s="17" t="s">
        <v>106</v>
      </c>
      <c r="BE176" s="139">
        <f>IF(N176="základní",J176,0)</f>
        <v>0</v>
      </c>
      <c r="BF176" s="139">
        <f>IF(N176="snížená",J176,0)</f>
        <v>0</v>
      </c>
      <c r="BG176" s="139">
        <f>IF(N176="zákl. přenesená",J176,0)</f>
        <v>0</v>
      </c>
      <c r="BH176" s="139">
        <f>IF(N176="sníž. přenesená",J176,0)</f>
        <v>0</v>
      </c>
      <c r="BI176" s="139">
        <f>IF(N176="nulová",J176,0)</f>
        <v>0</v>
      </c>
      <c r="BJ176" s="17" t="s">
        <v>75</v>
      </c>
      <c r="BK176" s="139">
        <f>ROUND(I176*H176,2)</f>
        <v>0</v>
      </c>
      <c r="BL176" s="17" t="s">
        <v>110</v>
      </c>
      <c r="BM176" s="138" t="s">
        <v>128</v>
      </c>
    </row>
    <row r="177" spans="2:65" s="1" customFormat="1" x14ac:dyDescent="0.2">
      <c r="B177" s="32"/>
      <c r="D177" s="140"/>
      <c r="E177" s="282"/>
      <c r="F177" s="266" t="s">
        <v>130</v>
      </c>
      <c r="I177" s="142"/>
      <c r="L177" s="32"/>
      <c r="M177" s="143"/>
      <c r="T177" s="53"/>
      <c r="AT177" s="17" t="s">
        <v>111</v>
      </c>
      <c r="AU177" s="17" t="s">
        <v>77</v>
      </c>
    </row>
    <row r="178" spans="2:65" s="1" customFormat="1" ht="16.5" customHeight="1" x14ac:dyDescent="0.2">
      <c r="B178" s="32"/>
      <c r="C178" s="165"/>
      <c r="D178" s="165" t="s">
        <v>120</v>
      </c>
      <c r="E178" s="283" t="s">
        <v>129</v>
      </c>
      <c r="F178" s="167" t="s">
        <v>130</v>
      </c>
      <c r="G178" s="168" t="s">
        <v>109</v>
      </c>
      <c r="H178" s="169">
        <f>H182</f>
        <v>130.29500000000002</v>
      </c>
      <c r="I178" s="170"/>
      <c r="J178" s="171">
        <f>ROUND(I178*H178,2)</f>
        <v>0</v>
      </c>
      <c r="K178" s="129" t="s">
        <v>412</v>
      </c>
      <c r="L178" s="172"/>
      <c r="M178" s="173" t="s">
        <v>18</v>
      </c>
      <c r="N178" s="174" t="s">
        <v>38</v>
      </c>
      <c r="P178" s="136">
        <f>O178*H178</f>
        <v>0</v>
      </c>
      <c r="Q178" s="136">
        <v>2.9999999999999997E-4</v>
      </c>
      <c r="R178" s="136">
        <f>Q178*H178</f>
        <v>3.9088499999999998E-2</v>
      </c>
      <c r="S178" s="136">
        <v>0</v>
      </c>
      <c r="T178" s="137">
        <f>S178*H178</f>
        <v>0</v>
      </c>
      <c r="AR178" s="138" t="s">
        <v>121</v>
      </c>
      <c r="AT178" s="138" t="s">
        <v>120</v>
      </c>
      <c r="AU178" s="138" t="s">
        <v>77</v>
      </c>
      <c r="AY178" s="17" t="s">
        <v>106</v>
      </c>
      <c r="BE178" s="139">
        <f>IF(N178="základní",J178,0)</f>
        <v>0</v>
      </c>
      <c r="BF178" s="139">
        <f>IF(N178="snížená",J178,0)</f>
        <v>0</v>
      </c>
      <c r="BG178" s="139">
        <f>IF(N178="zákl. přenesená",J178,0)</f>
        <v>0</v>
      </c>
      <c r="BH178" s="139">
        <f>IF(N178="sníž. přenesená",J178,0)</f>
        <v>0</v>
      </c>
      <c r="BI178" s="139">
        <f>IF(N178="nulová",J178,0)</f>
        <v>0</v>
      </c>
      <c r="BJ178" s="17" t="s">
        <v>75</v>
      </c>
      <c r="BK178" s="139">
        <f>ROUND(I178*H178,2)</f>
        <v>0</v>
      </c>
      <c r="BL178" s="17" t="s">
        <v>110</v>
      </c>
      <c r="BM178" s="138" t="s">
        <v>131</v>
      </c>
    </row>
    <row r="179" spans="2:65" s="14" customFormat="1" x14ac:dyDescent="0.2">
      <c r="B179" s="159"/>
      <c r="D179" s="145" t="s">
        <v>112</v>
      </c>
      <c r="E179" s="280" t="s">
        <v>18</v>
      </c>
      <c r="F179" s="161" t="s">
        <v>449</v>
      </c>
      <c r="H179" s="160" t="s">
        <v>18</v>
      </c>
      <c r="I179" s="162"/>
      <c r="L179" s="159"/>
      <c r="M179" s="163"/>
      <c r="T179" s="164"/>
      <c r="AT179" s="160" t="s">
        <v>112</v>
      </c>
      <c r="AU179" s="160" t="s">
        <v>77</v>
      </c>
      <c r="AV179" s="14" t="s">
        <v>75</v>
      </c>
      <c r="AW179" s="14" t="s">
        <v>29</v>
      </c>
      <c r="AX179" s="14" t="s">
        <v>67</v>
      </c>
      <c r="AY179" s="160" t="s">
        <v>106</v>
      </c>
    </row>
    <row r="180" spans="2:65" s="12" customFormat="1" x14ac:dyDescent="0.2">
      <c r="B180" s="144"/>
      <c r="D180" s="145" t="s">
        <v>112</v>
      </c>
      <c r="E180" s="278" t="s">
        <v>18</v>
      </c>
      <c r="F180" s="147" t="s">
        <v>448</v>
      </c>
      <c r="H180" s="148">
        <f>25+85</f>
        <v>110</v>
      </c>
      <c r="I180" s="149"/>
      <c r="L180" s="144"/>
      <c r="M180" s="150"/>
      <c r="T180" s="151"/>
      <c r="AT180" s="146" t="s">
        <v>112</v>
      </c>
      <c r="AU180" s="146" t="s">
        <v>77</v>
      </c>
      <c r="AV180" s="12" t="s">
        <v>77</v>
      </c>
      <c r="AW180" s="12" t="s">
        <v>29</v>
      </c>
      <c r="AX180" s="12" t="s">
        <v>67</v>
      </c>
      <c r="AY180" s="146" t="s">
        <v>106</v>
      </c>
    </row>
    <row r="181" spans="2:65" s="13" customFormat="1" x14ac:dyDescent="0.2">
      <c r="B181" s="152"/>
      <c r="D181" s="145" t="s">
        <v>112</v>
      </c>
      <c r="E181" s="281" t="s">
        <v>18</v>
      </c>
      <c r="F181" s="154" t="s">
        <v>113</v>
      </c>
      <c r="H181" s="155">
        <f>SUM(H180:H180)</f>
        <v>110</v>
      </c>
      <c r="I181" s="156"/>
      <c r="L181" s="152"/>
      <c r="M181" s="157"/>
      <c r="T181" s="158"/>
      <c r="AT181" s="153" t="s">
        <v>112</v>
      </c>
      <c r="AU181" s="153" t="s">
        <v>77</v>
      </c>
      <c r="AV181" s="13" t="s">
        <v>110</v>
      </c>
      <c r="AW181" s="13" t="s">
        <v>29</v>
      </c>
      <c r="AX181" s="13" t="s">
        <v>75</v>
      </c>
      <c r="AY181" s="153" t="s">
        <v>106</v>
      </c>
    </row>
    <row r="182" spans="2:65" s="12" customFormat="1" x14ac:dyDescent="0.2">
      <c r="B182" s="144"/>
      <c r="D182" s="145" t="s">
        <v>112</v>
      </c>
      <c r="E182" s="284"/>
      <c r="F182" s="147" t="s">
        <v>443</v>
      </c>
      <c r="H182" s="148">
        <f>H181*1.1845</f>
        <v>130.29500000000002</v>
      </c>
      <c r="I182" s="149"/>
      <c r="L182" s="144"/>
      <c r="M182" s="150"/>
      <c r="T182" s="151"/>
      <c r="AT182" s="146" t="s">
        <v>112</v>
      </c>
      <c r="AU182" s="146" t="s">
        <v>77</v>
      </c>
      <c r="AV182" s="12" t="s">
        <v>77</v>
      </c>
      <c r="AW182" s="12" t="s">
        <v>4</v>
      </c>
      <c r="AX182" s="12" t="s">
        <v>75</v>
      </c>
      <c r="AY182" s="146" t="s">
        <v>106</v>
      </c>
    </row>
    <row r="183" spans="2:65" s="1" customFormat="1" ht="16.5" customHeight="1" x14ac:dyDescent="0.2">
      <c r="B183" s="32"/>
      <c r="C183" s="127"/>
      <c r="D183" s="127" t="s">
        <v>108</v>
      </c>
      <c r="E183" s="277" t="s">
        <v>132</v>
      </c>
      <c r="F183" s="129" t="s">
        <v>437</v>
      </c>
      <c r="G183" s="130" t="s">
        <v>114</v>
      </c>
      <c r="H183" s="131">
        <f>H197</f>
        <v>5.7490000000000006</v>
      </c>
      <c r="I183" s="132"/>
      <c r="J183" s="133">
        <f>ROUND(I183*H183,2)</f>
        <v>0</v>
      </c>
      <c r="K183" s="129" t="s">
        <v>412</v>
      </c>
      <c r="L183" s="32"/>
      <c r="M183" s="134" t="s">
        <v>18</v>
      </c>
      <c r="N183" s="135" t="s">
        <v>38</v>
      </c>
      <c r="P183" s="136">
        <f>O183*H183</f>
        <v>0</v>
      </c>
      <c r="Q183" s="136">
        <v>2.5018699999999998</v>
      </c>
      <c r="R183" s="136">
        <f>Q183*H183</f>
        <v>14.383250630000001</v>
      </c>
      <c r="S183" s="136">
        <v>0</v>
      </c>
      <c r="T183" s="137">
        <f>S183*H183</f>
        <v>0</v>
      </c>
      <c r="AR183" s="138" t="s">
        <v>110</v>
      </c>
      <c r="AT183" s="138" t="s">
        <v>108</v>
      </c>
      <c r="AU183" s="138" t="s">
        <v>77</v>
      </c>
      <c r="AY183" s="17" t="s">
        <v>106</v>
      </c>
      <c r="BE183" s="139">
        <f>IF(N183="základní",J183,0)</f>
        <v>0</v>
      </c>
      <c r="BF183" s="139">
        <f>IF(N183="snížená",J183,0)</f>
        <v>0</v>
      </c>
      <c r="BG183" s="139">
        <f>IF(N183="zákl. přenesená",J183,0)</f>
        <v>0</v>
      </c>
      <c r="BH183" s="139">
        <f>IF(N183="sníž. přenesená",J183,0)</f>
        <v>0</v>
      </c>
      <c r="BI183" s="139">
        <f>IF(N183="nulová",J183,0)</f>
        <v>0</v>
      </c>
      <c r="BJ183" s="17" t="s">
        <v>75</v>
      </c>
      <c r="BK183" s="139">
        <f>ROUND(I183*H183,2)</f>
        <v>0</v>
      </c>
      <c r="BL183" s="17" t="s">
        <v>110</v>
      </c>
      <c r="BM183" s="138" t="s">
        <v>133</v>
      </c>
    </row>
    <row r="184" spans="2:65" s="14" customFormat="1" x14ac:dyDescent="0.2">
      <c r="B184" s="159"/>
      <c r="D184" s="145" t="s">
        <v>112</v>
      </c>
      <c r="E184" s="280" t="s">
        <v>368</v>
      </c>
      <c r="F184" s="161" t="s">
        <v>387</v>
      </c>
      <c r="H184" s="160" t="s">
        <v>18</v>
      </c>
      <c r="I184" s="162"/>
      <c r="L184" s="159"/>
      <c r="M184" s="163"/>
      <c r="T184" s="164"/>
      <c r="AT184" s="160" t="s">
        <v>112</v>
      </c>
      <c r="AU184" s="160" t="s">
        <v>77</v>
      </c>
      <c r="AV184" s="14" t="s">
        <v>75</v>
      </c>
      <c r="AW184" s="14" t="s">
        <v>29</v>
      </c>
      <c r="AX184" s="14" t="s">
        <v>67</v>
      </c>
      <c r="AY184" s="160" t="s">
        <v>106</v>
      </c>
    </row>
    <row r="185" spans="2:65" s="12" customFormat="1" x14ac:dyDescent="0.2">
      <c r="B185" s="144"/>
      <c r="D185" s="145" t="s">
        <v>112</v>
      </c>
      <c r="E185" s="280" t="s">
        <v>18</v>
      </c>
      <c r="F185" s="161" t="s">
        <v>379</v>
      </c>
      <c r="G185" s="14"/>
      <c r="H185" s="160" t="s">
        <v>18</v>
      </c>
      <c r="I185" s="162"/>
      <c r="J185" s="14"/>
      <c r="K185" s="14"/>
      <c r="L185" s="144"/>
      <c r="M185" s="150"/>
      <c r="T185" s="151"/>
      <c r="AT185" s="146" t="s">
        <v>112</v>
      </c>
      <c r="AU185" s="146" t="s">
        <v>77</v>
      </c>
      <c r="AV185" s="12" t="s">
        <v>77</v>
      </c>
      <c r="AW185" s="12" t="s">
        <v>29</v>
      </c>
      <c r="AX185" s="12" t="s">
        <v>67</v>
      </c>
      <c r="AY185" s="146" t="s">
        <v>106</v>
      </c>
    </row>
    <row r="186" spans="2:65" s="14" customFormat="1" x14ac:dyDescent="0.2">
      <c r="B186" s="159"/>
      <c r="D186" s="145" t="s">
        <v>112</v>
      </c>
      <c r="E186" s="278" t="s">
        <v>18</v>
      </c>
      <c r="F186" s="147">
        <v>0.56999999999999995</v>
      </c>
      <c r="G186" s="12"/>
      <c r="H186" s="148">
        <f>F186</f>
        <v>0.56999999999999995</v>
      </c>
      <c r="I186" s="149"/>
      <c r="J186" s="12"/>
      <c r="K186" s="12"/>
      <c r="L186" s="159"/>
      <c r="M186" s="163"/>
      <c r="T186" s="164"/>
      <c r="AT186" s="160" t="s">
        <v>112</v>
      </c>
      <c r="AU186" s="160" t="s">
        <v>77</v>
      </c>
      <c r="AV186" s="14" t="s">
        <v>75</v>
      </c>
      <c r="AW186" s="14" t="s">
        <v>29</v>
      </c>
      <c r="AX186" s="14" t="s">
        <v>67</v>
      </c>
      <c r="AY186" s="160" t="s">
        <v>106</v>
      </c>
    </row>
    <row r="187" spans="2:65" s="12" customFormat="1" x14ac:dyDescent="0.2">
      <c r="B187" s="144"/>
      <c r="D187" s="145" t="s">
        <v>112</v>
      </c>
      <c r="E187" s="280" t="s">
        <v>18</v>
      </c>
      <c r="F187" s="161" t="s">
        <v>380</v>
      </c>
      <c r="G187" s="14"/>
      <c r="H187" s="148"/>
      <c r="I187" s="162"/>
      <c r="J187" s="14"/>
      <c r="K187" s="14"/>
      <c r="L187" s="144"/>
      <c r="M187" s="150"/>
      <c r="T187" s="151"/>
      <c r="AT187" s="146" t="s">
        <v>112</v>
      </c>
      <c r="AU187" s="146" t="s">
        <v>77</v>
      </c>
      <c r="AV187" s="12" t="s">
        <v>77</v>
      </c>
      <c r="AW187" s="12" t="s">
        <v>29</v>
      </c>
      <c r="AX187" s="12" t="s">
        <v>67</v>
      </c>
      <c r="AY187" s="146" t="s">
        <v>106</v>
      </c>
    </row>
    <row r="188" spans="2:65" s="14" customFormat="1" x14ac:dyDescent="0.2">
      <c r="B188" s="159"/>
      <c r="D188" s="145" t="s">
        <v>112</v>
      </c>
      <c r="E188" s="278" t="s">
        <v>18</v>
      </c>
      <c r="F188" s="147">
        <v>4.8000000000000001E-2</v>
      </c>
      <c r="G188" s="12"/>
      <c r="H188" s="148">
        <f>0.08+0.08</f>
        <v>0.16</v>
      </c>
      <c r="I188" s="149"/>
      <c r="J188" s="12"/>
      <c r="K188" s="12"/>
      <c r="L188" s="159"/>
      <c r="M188" s="163"/>
      <c r="T188" s="164"/>
      <c r="AT188" s="160" t="s">
        <v>112</v>
      </c>
      <c r="AU188" s="160" t="s">
        <v>77</v>
      </c>
      <c r="AV188" s="14" t="s">
        <v>75</v>
      </c>
      <c r="AW188" s="14" t="s">
        <v>29</v>
      </c>
      <c r="AX188" s="14" t="s">
        <v>67</v>
      </c>
      <c r="AY188" s="160" t="s">
        <v>106</v>
      </c>
    </row>
    <row r="189" spans="2:65" s="14" customFormat="1" x14ac:dyDescent="0.2">
      <c r="B189" s="159"/>
      <c r="D189" s="145" t="s">
        <v>112</v>
      </c>
      <c r="E189" s="280" t="s">
        <v>18</v>
      </c>
      <c r="F189" s="161" t="s">
        <v>367</v>
      </c>
      <c r="H189" s="148"/>
      <c r="I189" s="149"/>
      <c r="J189" s="12"/>
      <c r="K189" s="12"/>
      <c r="L189" s="159"/>
      <c r="M189" s="163"/>
      <c r="T189" s="164"/>
      <c r="AT189" s="160"/>
      <c r="AU189" s="160"/>
      <c r="AY189" s="160"/>
    </row>
    <row r="190" spans="2:65" s="14" customFormat="1" x14ac:dyDescent="0.2">
      <c r="B190" s="159"/>
      <c r="D190" s="145" t="s">
        <v>112</v>
      </c>
      <c r="E190" s="278" t="s">
        <v>18</v>
      </c>
      <c r="F190" s="147">
        <v>0.57999999999999996</v>
      </c>
      <c r="G190" s="12"/>
      <c r="H190" s="148">
        <f t="shared" ref="H190" si="3">F190</f>
        <v>0.57999999999999996</v>
      </c>
      <c r="I190" s="149"/>
      <c r="J190" s="12"/>
      <c r="K190" s="12"/>
      <c r="L190" s="159"/>
      <c r="M190" s="163"/>
      <c r="T190" s="164"/>
      <c r="AT190" s="160"/>
      <c r="AU190" s="160"/>
      <c r="AY190" s="160"/>
    </row>
    <row r="191" spans="2:65" s="14" customFormat="1" x14ac:dyDescent="0.2">
      <c r="B191" s="159"/>
      <c r="D191" s="145" t="s">
        <v>112</v>
      </c>
      <c r="E191" s="280" t="s">
        <v>18</v>
      </c>
      <c r="F191" s="161" t="s">
        <v>381</v>
      </c>
      <c r="H191" s="148"/>
      <c r="I191" s="149"/>
      <c r="J191" s="12"/>
      <c r="K191" s="12"/>
      <c r="L191" s="159"/>
      <c r="M191" s="163"/>
      <c r="T191" s="164"/>
      <c r="AT191" s="160"/>
      <c r="AU191" s="160"/>
      <c r="AY191" s="160"/>
    </row>
    <row r="192" spans="2:65" s="14" customFormat="1" x14ac:dyDescent="0.2">
      <c r="B192" s="159"/>
      <c r="D192" s="145" t="s">
        <v>112</v>
      </c>
      <c r="E192" s="278" t="s">
        <v>18</v>
      </c>
      <c r="F192" s="147" t="s">
        <v>508</v>
      </c>
      <c r="G192" s="12"/>
      <c r="H192" s="148">
        <f>0.28+2.896</f>
        <v>3.1760000000000002</v>
      </c>
      <c r="I192" s="149"/>
      <c r="J192" s="12"/>
      <c r="K192" s="12"/>
      <c r="L192" s="159"/>
      <c r="M192" s="163"/>
      <c r="T192" s="164"/>
      <c r="AT192" s="160"/>
      <c r="AU192" s="160"/>
      <c r="AY192" s="160"/>
    </row>
    <row r="193" spans="2:63" s="14" customFormat="1" x14ac:dyDescent="0.2">
      <c r="B193" s="159"/>
      <c r="D193" s="145" t="s">
        <v>112</v>
      </c>
      <c r="E193" s="280" t="s">
        <v>18</v>
      </c>
      <c r="F193" s="161" t="s">
        <v>383</v>
      </c>
      <c r="H193" s="148"/>
      <c r="I193" s="149"/>
      <c r="J193" s="12"/>
      <c r="K193" s="12"/>
      <c r="L193" s="159"/>
      <c r="M193" s="163"/>
      <c r="T193" s="164"/>
      <c r="AT193" s="160"/>
      <c r="AU193" s="160"/>
      <c r="AY193" s="160"/>
    </row>
    <row r="194" spans="2:63" s="14" customFormat="1" x14ac:dyDescent="0.2">
      <c r="B194" s="159"/>
      <c r="D194" s="145" t="s">
        <v>112</v>
      </c>
      <c r="E194" s="278" t="s">
        <v>18</v>
      </c>
      <c r="F194" s="147">
        <v>6.3E-2</v>
      </c>
      <c r="G194" s="12"/>
      <c r="H194" s="148">
        <f>F194</f>
        <v>6.3E-2</v>
      </c>
      <c r="I194" s="149"/>
      <c r="J194" s="12"/>
      <c r="K194" s="12"/>
      <c r="L194" s="159"/>
      <c r="M194" s="163"/>
      <c r="T194" s="164"/>
      <c r="AT194" s="160"/>
      <c r="AU194" s="160"/>
      <c r="AY194" s="160"/>
    </row>
    <row r="195" spans="2:63" s="14" customFormat="1" x14ac:dyDescent="0.2">
      <c r="B195" s="159"/>
      <c r="D195" s="145" t="s">
        <v>112</v>
      </c>
      <c r="E195" s="280" t="s">
        <v>18</v>
      </c>
      <c r="F195" s="161" t="s">
        <v>535</v>
      </c>
      <c r="H195" s="148"/>
      <c r="I195" s="149"/>
      <c r="J195" s="12"/>
      <c r="K195" s="12"/>
      <c r="L195" s="159"/>
      <c r="M195" s="163"/>
      <c r="T195" s="164"/>
      <c r="AT195" s="160"/>
      <c r="AU195" s="160"/>
      <c r="AY195" s="160"/>
    </row>
    <row r="196" spans="2:63" s="14" customFormat="1" x14ac:dyDescent="0.2">
      <c r="B196" s="159"/>
      <c r="D196" s="145" t="s">
        <v>112</v>
      </c>
      <c r="E196" s="278" t="s">
        <v>18</v>
      </c>
      <c r="F196" s="147">
        <v>1.2</v>
      </c>
      <c r="G196" s="12"/>
      <c r="H196" s="148">
        <f t="shared" ref="H196" si="4">F196</f>
        <v>1.2</v>
      </c>
      <c r="I196" s="149"/>
      <c r="J196" s="12"/>
      <c r="K196" s="12"/>
      <c r="L196" s="159"/>
      <c r="M196" s="163"/>
      <c r="T196" s="164"/>
      <c r="AT196" s="160"/>
      <c r="AU196" s="160"/>
      <c r="AY196" s="160"/>
    </row>
    <row r="197" spans="2:63" s="12" customFormat="1" x14ac:dyDescent="0.2">
      <c r="B197" s="144"/>
      <c r="D197" s="145" t="s">
        <v>112</v>
      </c>
      <c r="E197" s="281" t="s">
        <v>18</v>
      </c>
      <c r="F197" s="154" t="s">
        <v>113</v>
      </c>
      <c r="G197" s="13"/>
      <c r="H197" s="155">
        <f>SUM(H185:H196)</f>
        <v>5.7490000000000006</v>
      </c>
      <c r="I197" s="156"/>
      <c r="J197" s="13"/>
      <c r="K197" s="13"/>
      <c r="L197" s="144"/>
      <c r="M197" s="150"/>
      <c r="T197" s="151"/>
      <c r="AT197" s="146" t="s">
        <v>112</v>
      </c>
      <c r="AU197" s="146" t="s">
        <v>77</v>
      </c>
      <c r="AV197" s="12" t="s">
        <v>77</v>
      </c>
      <c r="AW197" s="12" t="s">
        <v>29</v>
      </c>
      <c r="AX197" s="12" t="s">
        <v>67</v>
      </c>
      <c r="AY197" s="146" t="s">
        <v>106</v>
      </c>
    </row>
    <row r="198" spans="2:63" s="12" customFormat="1" ht="15" customHeight="1" x14ac:dyDescent="0.2">
      <c r="B198" s="144"/>
      <c r="C198" s="127"/>
      <c r="D198" s="127" t="s">
        <v>108</v>
      </c>
      <c r="E198" s="277" t="s">
        <v>402</v>
      </c>
      <c r="F198" s="129" t="s">
        <v>401</v>
      </c>
      <c r="G198" s="130" t="s">
        <v>109</v>
      </c>
      <c r="H198" s="131">
        <f>H201</f>
        <v>15.869999999999997</v>
      </c>
      <c r="I198" s="132"/>
      <c r="J198" s="133">
        <f>ROUND(I198*H198,2)</f>
        <v>0</v>
      </c>
      <c r="K198" s="129" t="s">
        <v>412</v>
      </c>
      <c r="L198" s="144"/>
      <c r="M198" s="150"/>
      <c r="T198" s="151"/>
      <c r="AT198" s="146"/>
      <c r="AU198" s="146"/>
      <c r="AY198" s="146"/>
    </row>
    <row r="199" spans="2:63" s="12" customFormat="1" x14ac:dyDescent="0.2">
      <c r="B199" s="144"/>
      <c r="D199" s="145" t="s">
        <v>112</v>
      </c>
      <c r="E199" s="280" t="s">
        <v>18</v>
      </c>
      <c r="F199" s="161" t="s">
        <v>403</v>
      </c>
      <c r="G199" s="14"/>
      <c r="H199" s="160" t="s">
        <v>18</v>
      </c>
      <c r="I199" s="162"/>
      <c r="J199" s="14"/>
      <c r="K199" s="14"/>
      <c r="L199" s="144"/>
      <c r="M199" s="150"/>
      <c r="T199" s="151"/>
      <c r="AT199" s="146"/>
      <c r="AU199" s="146"/>
      <c r="AY199" s="146"/>
    </row>
    <row r="200" spans="2:63" s="12" customFormat="1" x14ac:dyDescent="0.2">
      <c r="B200" s="144"/>
      <c r="C200" s="14"/>
      <c r="D200" s="145" t="s">
        <v>112</v>
      </c>
      <c r="E200" s="278" t="s">
        <v>18</v>
      </c>
      <c r="F200" s="147" t="s">
        <v>507</v>
      </c>
      <c r="H200" s="148">
        <f>(23*0.6)*1.15</f>
        <v>15.869999999999997</v>
      </c>
      <c r="I200" s="149"/>
      <c r="L200" s="144"/>
      <c r="M200" s="150"/>
      <c r="T200" s="151"/>
      <c r="AT200" s="146"/>
      <c r="AU200" s="146"/>
      <c r="AY200" s="146"/>
    </row>
    <row r="201" spans="2:63" s="12" customFormat="1" x14ac:dyDescent="0.2">
      <c r="B201" s="144"/>
      <c r="D201" s="145" t="s">
        <v>112</v>
      </c>
      <c r="E201" s="281" t="s">
        <v>18</v>
      </c>
      <c r="F201" s="154" t="s">
        <v>113</v>
      </c>
      <c r="G201" s="13"/>
      <c r="H201" s="155">
        <f>H200</f>
        <v>15.869999999999997</v>
      </c>
      <c r="I201" s="156"/>
      <c r="J201" s="13"/>
      <c r="K201" s="13"/>
      <c r="L201" s="144"/>
      <c r="M201" s="150"/>
      <c r="T201" s="151"/>
      <c r="AT201" s="146"/>
      <c r="AU201" s="146"/>
      <c r="AY201" s="146"/>
    </row>
    <row r="202" spans="2:63" s="11" customFormat="1" ht="22.9" customHeight="1" x14ac:dyDescent="0.2">
      <c r="B202" s="115"/>
      <c r="D202" s="116" t="s">
        <v>66</v>
      </c>
      <c r="E202" s="285" t="s">
        <v>119</v>
      </c>
      <c r="F202" s="125" t="s">
        <v>134</v>
      </c>
      <c r="I202" s="118"/>
      <c r="J202" s="126">
        <f>SUM(J203:J271)</f>
        <v>0</v>
      </c>
      <c r="L202" s="115"/>
      <c r="M202" s="120"/>
      <c r="P202" s="121"/>
      <c r="R202" s="121"/>
      <c r="T202" s="122"/>
      <c r="AR202" s="116" t="s">
        <v>75</v>
      </c>
      <c r="AT202" s="123" t="s">
        <v>66</v>
      </c>
      <c r="AU202" s="123" t="s">
        <v>75</v>
      </c>
      <c r="AY202" s="116" t="s">
        <v>106</v>
      </c>
      <c r="BK202" s="124">
        <f>SUM(BK215:BK254)</f>
        <v>0</v>
      </c>
    </row>
    <row r="203" spans="2:63" s="11" customFormat="1" ht="15" customHeight="1" x14ac:dyDescent="0.2">
      <c r="B203" s="115"/>
      <c r="C203" s="127"/>
      <c r="D203" s="127" t="s">
        <v>108</v>
      </c>
      <c r="E203" s="277" t="s">
        <v>434</v>
      </c>
      <c r="F203" s="129" t="s">
        <v>433</v>
      </c>
      <c r="G203" s="130" t="s">
        <v>114</v>
      </c>
      <c r="H203" s="131">
        <f>H206</f>
        <v>34.246297999999996</v>
      </c>
      <c r="I203" s="132"/>
      <c r="J203" s="133">
        <f>ROUND(I203*H203,2)</f>
        <v>0</v>
      </c>
      <c r="K203" s="129" t="s">
        <v>412</v>
      </c>
      <c r="L203" s="152"/>
      <c r="M203" s="120"/>
      <c r="P203" s="121"/>
      <c r="R203" s="121"/>
      <c r="T203" s="122"/>
      <c r="AR203" s="116"/>
      <c r="AT203" s="123"/>
      <c r="AU203" s="123"/>
      <c r="AY203" s="116"/>
      <c r="BK203" s="124"/>
    </row>
    <row r="204" spans="2:63" s="11" customFormat="1" ht="12" customHeight="1" x14ac:dyDescent="0.2">
      <c r="B204" s="115"/>
      <c r="C204" s="14"/>
      <c r="D204" s="145" t="s">
        <v>112</v>
      </c>
      <c r="E204" s="280" t="s">
        <v>18</v>
      </c>
      <c r="F204" s="161" t="s">
        <v>431</v>
      </c>
      <c r="G204" s="14"/>
      <c r="H204" s="160" t="s">
        <v>18</v>
      </c>
      <c r="I204" s="162"/>
      <c r="J204" s="14"/>
      <c r="K204" s="14"/>
      <c r="L204" s="115"/>
      <c r="M204" s="120"/>
      <c r="P204" s="121"/>
      <c r="R204" s="121"/>
      <c r="T204" s="122"/>
      <c r="AR204" s="116"/>
      <c r="AT204" s="123"/>
      <c r="AU204" s="123"/>
      <c r="AY204" s="116"/>
      <c r="BK204" s="124"/>
    </row>
    <row r="205" spans="2:63" s="11" customFormat="1" ht="12" customHeight="1" x14ac:dyDescent="0.2">
      <c r="B205" s="115"/>
      <c r="C205" s="12"/>
      <c r="D205" s="145" t="s">
        <v>112</v>
      </c>
      <c r="E205" s="278" t="s">
        <v>18</v>
      </c>
      <c r="F205" s="265">
        <f>H156+H122</f>
        <v>34.246297999999996</v>
      </c>
      <c r="G205" s="12"/>
      <c r="H205" s="148">
        <f>F205</f>
        <v>34.246297999999996</v>
      </c>
      <c r="I205" s="149"/>
      <c r="J205" s="12"/>
      <c r="K205" s="12"/>
      <c r="L205" s="115"/>
      <c r="M205" s="120"/>
      <c r="P205" s="121"/>
      <c r="R205" s="121"/>
      <c r="T205" s="122"/>
      <c r="AR205" s="116"/>
      <c r="AT205" s="123"/>
      <c r="AU205" s="123"/>
      <c r="AY205" s="116"/>
      <c r="BK205" s="124"/>
    </row>
    <row r="206" spans="2:63" s="11" customFormat="1" ht="12" customHeight="1" x14ac:dyDescent="0.2">
      <c r="B206" s="115"/>
      <c r="C206" s="13"/>
      <c r="D206" s="145" t="s">
        <v>112</v>
      </c>
      <c r="E206" s="281" t="s">
        <v>18</v>
      </c>
      <c r="F206" s="154" t="s">
        <v>113</v>
      </c>
      <c r="G206" s="13"/>
      <c r="H206" s="155">
        <f>H205</f>
        <v>34.246297999999996</v>
      </c>
      <c r="I206" s="156"/>
      <c r="J206" s="13"/>
      <c r="K206" s="13"/>
      <c r="L206" s="115"/>
      <c r="M206" s="120"/>
      <c r="P206" s="121"/>
      <c r="R206" s="121"/>
      <c r="T206" s="122"/>
      <c r="AR206" s="116"/>
      <c r="AT206" s="123"/>
      <c r="AU206" s="123"/>
      <c r="AY206" s="116"/>
      <c r="BK206" s="124"/>
    </row>
    <row r="207" spans="2:63" s="11" customFormat="1" ht="15" customHeight="1" x14ac:dyDescent="0.2">
      <c r="B207" s="115"/>
      <c r="C207" s="127"/>
      <c r="D207" s="127" t="s">
        <v>108</v>
      </c>
      <c r="E207" s="277" t="s">
        <v>400</v>
      </c>
      <c r="F207" s="129" t="s">
        <v>423</v>
      </c>
      <c r="G207" s="130" t="s">
        <v>109</v>
      </c>
      <c r="H207" s="131">
        <f>H210</f>
        <v>394</v>
      </c>
      <c r="I207" s="132"/>
      <c r="J207" s="133">
        <f>ROUND(I207*H207,2)</f>
        <v>0</v>
      </c>
      <c r="K207" s="129"/>
      <c r="L207" s="152"/>
      <c r="M207" s="120"/>
      <c r="P207" s="121"/>
      <c r="R207" s="121"/>
      <c r="T207" s="122"/>
      <c r="AR207" s="116"/>
      <c r="AT207" s="123"/>
      <c r="AU207" s="123"/>
      <c r="AY207" s="116"/>
      <c r="BK207" s="124"/>
    </row>
    <row r="208" spans="2:63" s="11" customFormat="1" ht="12" customHeight="1" x14ac:dyDescent="0.2">
      <c r="B208" s="115"/>
      <c r="C208" s="14"/>
      <c r="D208" s="145" t="s">
        <v>112</v>
      </c>
      <c r="E208" s="280" t="s">
        <v>18</v>
      </c>
      <c r="F208" s="161" t="s">
        <v>430</v>
      </c>
      <c r="G208" s="14"/>
      <c r="H208" s="160" t="s">
        <v>18</v>
      </c>
      <c r="I208" s="162"/>
      <c r="J208" s="14"/>
      <c r="K208" s="14"/>
      <c r="L208" s="115"/>
      <c r="M208" s="120"/>
      <c r="P208" s="121"/>
      <c r="R208" s="121"/>
      <c r="T208" s="122"/>
      <c r="AR208" s="116"/>
      <c r="AT208" s="123"/>
      <c r="AU208" s="123"/>
      <c r="AY208" s="116"/>
      <c r="BK208" s="124"/>
    </row>
    <row r="209" spans="2:65" s="11" customFormat="1" ht="12" customHeight="1" x14ac:dyDescent="0.2">
      <c r="B209" s="115"/>
      <c r="C209" s="12"/>
      <c r="D209" s="145" t="s">
        <v>112</v>
      </c>
      <c r="E209" s="278" t="s">
        <v>18</v>
      </c>
      <c r="F209" s="265">
        <f>H91-25-85</f>
        <v>394</v>
      </c>
      <c r="G209" s="12"/>
      <c r="H209" s="148">
        <f>F209</f>
        <v>394</v>
      </c>
      <c r="I209" s="149"/>
      <c r="J209" s="12"/>
      <c r="K209" s="12"/>
      <c r="L209" s="115"/>
      <c r="M209" s="120"/>
      <c r="P209" s="121"/>
      <c r="R209" s="121"/>
      <c r="T209" s="122"/>
      <c r="AR209" s="116"/>
      <c r="AT209" s="123"/>
      <c r="AU209" s="123"/>
      <c r="AY209" s="116"/>
      <c r="BK209" s="124"/>
    </row>
    <row r="210" spans="2:65" s="11" customFormat="1" ht="12" customHeight="1" x14ac:dyDescent="0.2">
      <c r="B210" s="115"/>
      <c r="C210" s="13"/>
      <c r="D210" s="145" t="s">
        <v>112</v>
      </c>
      <c r="E210" s="281" t="s">
        <v>18</v>
      </c>
      <c r="F210" s="154" t="s">
        <v>113</v>
      </c>
      <c r="G210" s="13"/>
      <c r="H210" s="155">
        <f>H209</f>
        <v>394</v>
      </c>
      <c r="I210" s="156"/>
      <c r="J210" s="13"/>
      <c r="K210" s="13"/>
      <c r="L210" s="115"/>
      <c r="M210" s="120"/>
      <c r="P210" s="121"/>
      <c r="R210" s="121"/>
      <c r="T210" s="122"/>
      <c r="AR210" s="116"/>
      <c r="AT210" s="123"/>
      <c r="AU210" s="123"/>
      <c r="AY210" s="116"/>
      <c r="BK210" s="124"/>
    </row>
    <row r="211" spans="2:65" s="11" customFormat="1" ht="15" customHeight="1" x14ac:dyDescent="0.2">
      <c r="B211" s="115"/>
      <c r="C211" s="127"/>
      <c r="D211" s="127" t="s">
        <v>108</v>
      </c>
      <c r="E211" s="128" t="s">
        <v>424</v>
      </c>
      <c r="F211" s="129" t="s">
        <v>425</v>
      </c>
      <c r="G211" s="130" t="s">
        <v>109</v>
      </c>
      <c r="H211" s="131">
        <f>H214</f>
        <v>394</v>
      </c>
      <c r="I211" s="132"/>
      <c r="J211" s="133">
        <f>ROUND(I211*H211,2)</f>
        <v>0</v>
      </c>
      <c r="K211" s="129"/>
      <c r="L211" s="152"/>
      <c r="M211" s="120"/>
      <c r="P211" s="121"/>
      <c r="R211" s="121"/>
      <c r="T211" s="122"/>
      <c r="AR211" s="116"/>
      <c r="AT211" s="123"/>
      <c r="AU211" s="123"/>
      <c r="AY211" s="116"/>
      <c r="BK211" s="124"/>
    </row>
    <row r="212" spans="2:65" s="11" customFormat="1" ht="12" customHeight="1" x14ac:dyDescent="0.2">
      <c r="B212" s="115"/>
      <c r="C212" s="14"/>
      <c r="D212" s="145" t="s">
        <v>112</v>
      </c>
      <c r="E212" s="160" t="s">
        <v>18</v>
      </c>
      <c r="F212" s="161" t="s">
        <v>430</v>
      </c>
      <c r="G212" s="14"/>
      <c r="H212" s="160" t="s">
        <v>18</v>
      </c>
      <c r="I212" s="162"/>
      <c r="J212" s="14"/>
      <c r="K212" s="14"/>
      <c r="L212" s="115"/>
      <c r="M212" s="120"/>
      <c r="P212" s="121"/>
      <c r="R212" s="121"/>
      <c r="T212" s="122"/>
      <c r="AR212" s="116"/>
      <c r="AT212" s="123"/>
      <c r="AU212" s="123"/>
      <c r="AY212" s="116"/>
      <c r="BK212" s="124"/>
    </row>
    <row r="213" spans="2:65" s="11" customFormat="1" ht="12" customHeight="1" x14ac:dyDescent="0.2">
      <c r="B213" s="115"/>
      <c r="C213" s="12"/>
      <c r="D213" s="145" t="s">
        <v>112</v>
      </c>
      <c r="E213" s="146" t="s">
        <v>18</v>
      </c>
      <c r="F213" s="265">
        <f>H209</f>
        <v>394</v>
      </c>
      <c r="G213" s="12"/>
      <c r="H213" s="148">
        <f>F213</f>
        <v>394</v>
      </c>
      <c r="I213" s="149"/>
      <c r="J213" s="12"/>
      <c r="K213" s="12"/>
      <c r="L213" s="115"/>
      <c r="M213" s="120"/>
      <c r="P213" s="121"/>
      <c r="R213" s="121"/>
      <c r="T213" s="122"/>
      <c r="AR213" s="116"/>
      <c r="AT213" s="123"/>
      <c r="AU213" s="123"/>
      <c r="AY213" s="116"/>
      <c r="BK213" s="124"/>
    </row>
    <row r="214" spans="2:65" s="11" customFormat="1" ht="12" customHeight="1" x14ac:dyDescent="0.2">
      <c r="B214" s="115"/>
      <c r="C214" s="13"/>
      <c r="D214" s="145" t="s">
        <v>112</v>
      </c>
      <c r="E214" s="153" t="s">
        <v>18</v>
      </c>
      <c r="F214" s="154" t="s">
        <v>113</v>
      </c>
      <c r="G214" s="13"/>
      <c r="H214" s="155">
        <f>H213</f>
        <v>394</v>
      </c>
      <c r="I214" s="156"/>
      <c r="J214" s="13"/>
      <c r="K214" s="13"/>
      <c r="L214" s="115"/>
      <c r="M214" s="120"/>
      <c r="P214" s="121"/>
      <c r="R214" s="121"/>
      <c r="T214" s="122"/>
      <c r="AR214" s="116"/>
      <c r="AT214" s="123"/>
      <c r="AU214" s="123"/>
      <c r="AY214" s="116"/>
      <c r="BK214" s="124"/>
    </row>
    <row r="215" spans="2:65" s="1" customFormat="1" ht="16.5" customHeight="1" x14ac:dyDescent="0.2">
      <c r="B215" s="32"/>
      <c r="C215" s="127"/>
      <c r="D215" s="127" t="s">
        <v>108</v>
      </c>
      <c r="E215" s="277" t="s">
        <v>451</v>
      </c>
      <c r="F215" s="129" t="s">
        <v>450</v>
      </c>
      <c r="G215" s="130" t="s">
        <v>109</v>
      </c>
      <c r="H215" s="131">
        <f>H218</f>
        <v>25</v>
      </c>
      <c r="I215" s="132"/>
      <c r="J215" s="133">
        <f>ROUND(I215*H215,2)</f>
        <v>0</v>
      </c>
      <c r="K215" s="129"/>
      <c r="L215" s="32"/>
      <c r="M215" s="134"/>
      <c r="N215" s="135"/>
      <c r="P215" s="136"/>
      <c r="Q215" s="136"/>
      <c r="R215" s="136"/>
      <c r="S215" s="136"/>
      <c r="T215" s="137"/>
      <c r="AR215" s="138" t="s">
        <v>110</v>
      </c>
      <c r="AT215" s="138" t="s">
        <v>108</v>
      </c>
      <c r="AU215" s="138" t="s">
        <v>77</v>
      </c>
      <c r="AY215" s="17" t="s">
        <v>106</v>
      </c>
      <c r="BE215" s="139">
        <f>IF(N215="základní",J215,0)</f>
        <v>0</v>
      </c>
      <c r="BF215" s="139">
        <f>IF(N215="snížená",J215,0)</f>
        <v>0</v>
      </c>
      <c r="BG215" s="139">
        <f>IF(N215="zákl. přenesená",J215,0)</f>
        <v>0</v>
      </c>
      <c r="BH215" s="139">
        <f>IF(N215="sníž. přenesená",J215,0)</f>
        <v>0</v>
      </c>
      <c r="BI215" s="139">
        <f>IF(N215="nulová",J215,0)</f>
        <v>0</v>
      </c>
      <c r="BJ215" s="17" t="s">
        <v>75</v>
      </c>
      <c r="BK215" s="139">
        <f>ROUND(I215*H215,2)</f>
        <v>0</v>
      </c>
      <c r="BL215" s="17" t="s">
        <v>110</v>
      </c>
      <c r="BM215" s="138" t="s">
        <v>136</v>
      </c>
    </row>
    <row r="216" spans="2:65" s="14" customFormat="1" x14ac:dyDescent="0.2">
      <c r="B216" s="159"/>
      <c r="D216" s="145" t="s">
        <v>112</v>
      </c>
      <c r="E216" s="280" t="s">
        <v>18</v>
      </c>
      <c r="F216" s="161" t="s">
        <v>435</v>
      </c>
      <c r="H216" s="160" t="s">
        <v>18</v>
      </c>
      <c r="I216" s="162"/>
      <c r="L216" s="159"/>
      <c r="M216" s="163"/>
      <c r="T216" s="164"/>
      <c r="AT216" s="160" t="s">
        <v>112</v>
      </c>
      <c r="AU216" s="160" t="s">
        <v>77</v>
      </c>
      <c r="AV216" s="14" t="s">
        <v>75</v>
      </c>
      <c r="AW216" s="14" t="s">
        <v>29</v>
      </c>
      <c r="AX216" s="14" t="s">
        <v>67</v>
      </c>
      <c r="AY216" s="160" t="s">
        <v>106</v>
      </c>
    </row>
    <row r="217" spans="2:65" s="12" customFormat="1" x14ac:dyDescent="0.2">
      <c r="B217" s="144"/>
      <c r="D217" s="145" t="s">
        <v>112</v>
      </c>
      <c r="E217" s="278" t="s">
        <v>18</v>
      </c>
      <c r="F217" s="147">
        <v>25</v>
      </c>
      <c r="H217" s="148">
        <f>F217</f>
        <v>25</v>
      </c>
      <c r="I217" s="149"/>
      <c r="L217" s="144"/>
      <c r="M217" s="150"/>
      <c r="T217" s="151"/>
      <c r="AT217" s="146" t="s">
        <v>112</v>
      </c>
      <c r="AU217" s="146" t="s">
        <v>77</v>
      </c>
      <c r="AV217" s="12" t="s">
        <v>77</v>
      </c>
      <c r="AW217" s="12" t="s">
        <v>29</v>
      </c>
      <c r="AX217" s="12" t="s">
        <v>67</v>
      </c>
      <c r="AY217" s="146" t="s">
        <v>106</v>
      </c>
    </row>
    <row r="218" spans="2:65" s="13" customFormat="1" x14ac:dyDescent="0.2">
      <c r="B218" s="152"/>
      <c r="D218" s="145" t="s">
        <v>112</v>
      </c>
      <c r="E218" s="281" t="s">
        <v>18</v>
      </c>
      <c r="F218" s="154" t="s">
        <v>113</v>
      </c>
      <c r="H218" s="155">
        <f>H217</f>
        <v>25</v>
      </c>
      <c r="I218" s="156"/>
      <c r="L218" s="152"/>
      <c r="M218" s="157"/>
      <c r="T218" s="158"/>
      <c r="AT218" s="153" t="s">
        <v>112</v>
      </c>
      <c r="AU218" s="153" t="s">
        <v>77</v>
      </c>
      <c r="AV218" s="13" t="s">
        <v>110</v>
      </c>
      <c r="AW218" s="13" t="s">
        <v>29</v>
      </c>
      <c r="AX218" s="13" t="s">
        <v>75</v>
      </c>
      <c r="AY218" s="153" t="s">
        <v>106</v>
      </c>
    </row>
    <row r="219" spans="2:65" s="13" customFormat="1" ht="16.5" customHeight="1" x14ac:dyDescent="0.2">
      <c r="B219" s="152"/>
      <c r="C219" s="127"/>
      <c r="D219" s="127" t="s">
        <v>108</v>
      </c>
      <c r="E219" s="277" t="s">
        <v>453</v>
      </c>
      <c r="F219" s="129" t="s">
        <v>452</v>
      </c>
      <c r="G219" s="130" t="s">
        <v>114</v>
      </c>
      <c r="H219" s="131">
        <f>H222</f>
        <v>85</v>
      </c>
      <c r="I219" s="132"/>
      <c r="J219" s="133">
        <f>ROUND(I219*H219,2)</f>
        <v>0</v>
      </c>
      <c r="K219" s="129"/>
      <c r="L219" s="152"/>
      <c r="M219" s="157"/>
      <c r="T219" s="158"/>
      <c r="AT219" s="153"/>
      <c r="AU219" s="153"/>
      <c r="AY219" s="153"/>
    </row>
    <row r="220" spans="2:65" s="13" customFormat="1" x14ac:dyDescent="0.2">
      <c r="B220" s="152"/>
      <c r="C220" s="14"/>
      <c r="D220" s="145" t="s">
        <v>112</v>
      </c>
      <c r="E220" s="280" t="s">
        <v>18</v>
      </c>
      <c r="F220" s="161" t="s">
        <v>454</v>
      </c>
      <c r="G220" s="14"/>
      <c r="H220" s="160" t="s">
        <v>18</v>
      </c>
      <c r="I220" s="162"/>
      <c r="J220" s="14"/>
      <c r="K220" s="14"/>
      <c r="L220" s="152"/>
      <c r="M220" s="157"/>
      <c r="T220" s="158"/>
      <c r="AT220" s="153"/>
      <c r="AU220" s="153"/>
      <c r="AY220" s="153"/>
    </row>
    <row r="221" spans="2:65" s="13" customFormat="1" x14ac:dyDescent="0.2">
      <c r="B221" s="152"/>
      <c r="C221" s="12"/>
      <c r="D221" s="145" t="s">
        <v>112</v>
      </c>
      <c r="E221" s="278" t="s">
        <v>18</v>
      </c>
      <c r="F221" s="147">
        <v>85</v>
      </c>
      <c r="G221" s="12"/>
      <c r="H221" s="148">
        <f>F221</f>
        <v>85</v>
      </c>
      <c r="I221" s="149"/>
      <c r="J221" s="12"/>
      <c r="K221" s="12"/>
      <c r="L221" s="152"/>
      <c r="M221" s="157"/>
      <c r="T221" s="158"/>
      <c r="AT221" s="153"/>
      <c r="AU221" s="153"/>
      <c r="AY221" s="153"/>
    </row>
    <row r="222" spans="2:65" s="13" customFormat="1" x14ac:dyDescent="0.2">
      <c r="B222" s="152"/>
      <c r="D222" s="145" t="s">
        <v>112</v>
      </c>
      <c r="E222" s="281" t="s">
        <v>18</v>
      </c>
      <c r="F222" s="154" t="s">
        <v>113</v>
      </c>
      <c r="H222" s="155">
        <f>H221</f>
        <v>85</v>
      </c>
      <c r="I222" s="156"/>
      <c r="L222" s="152"/>
      <c r="M222" s="157"/>
      <c r="T222" s="158"/>
      <c r="AT222" s="153"/>
      <c r="AU222" s="153"/>
      <c r="AY222" s="153"/>
    </row>
    <row r="223" spans="2:65" s="13" customFormat="1" ht="15" customHeight="1" x14ac:dyDescent="0.2">
      <c r="B223" s="152"/>
      <c r="C223" s="127"/>
      <c r="D223" s="127" t="s">
        <v>108</v>
      </c>
      <c r="E223" s="277" t="s">
        <v>373</v>
      </c>
      <c r="F223" s="129" t="s">
        <v>438</v>
      </c>
      <c r="G223" s="130" t="s">
        <v>109</v>
      </c>
      <c r="H223" s="131">
        <f>H226</f>
        <v>370</v>
      </c>
      <c r="I223" s="132"/>
      <c r="J223" s="133">
        <f>ROUND(I223*H223,2)</f>
        <v>0</v>
      </c>
      <c r="K223" s="129"/>
      <c r="L223" s="152"/>
      <c r="M223" s="157"/>
      <c r="T223" s="158"/>
      <c r="AT223" s="153"/>
      <c r="AU223" s="153"/>
      <c r="AY223" s="153"/>
    </row>
    <row r="224" spans="2:65" s="13" customFormat="1" x14ac:dyDescent="0.2">
      <c r="B224" s="152"/>
      <c r="C224" s="14"/>
      <c r="D224" s="145" t="s">
        <v>112</v>
      </c>
      <c r="E224" s="280" t="s">
        <v>18</v>
      </c>
      <c r="F224" s="161" t="s">
        <v>409</v>
      </c>
      <c r="G224" s="14"/>
      <c r="H224" s="160" t="s">
        <v>18</v>
      </c>
      <c r="I224" s="162"/>
      <c r="J224" s="14"/>
      <c r="K224" s="14"/>
      <c r="L224" s="152"/>
      <c r="M224" s="157"/>
      <c r="T224" s="158"/>
      <c r="AT224" s="153"/>
      <c r="AU224" s="153"/>
      <c r="AY224" s="153"/>
    </row>
    <row r="225" spans="2:51" s="13" customFormat="1" x14ac:dyDescent="0.2">
      <c r="B225" s="152"/>
      <c r="C225" s="12"/>
      <c r="D225" s="145" t="s">
        <v>112</v>
      </c>
      <c r="E225" s="278" t="s">
        <v>18</v>
      </c>
      <c r="F225" s="147" t="s">
        <v>444</v>
      </c>
      <c r="G225" s="12"/>
      <c r="H225" s="148">
        <f>125+140+105</f>
        <v>370</v>
      </c>
      <c r="I225" s="149"/>
      <c r="J225" s="12"/>
      <c r="K225" s="12"/>
      <c r="L225" s="152"/>
      <c r="M225" s="157"/>
      <c r="T225" s="158"/>
      <c r="AT225" s="153"/>
      <c r="AU225" s="153"/>
      <c r="AY225" s="153"/>
    </row>
    <row r="226" spans="2:51" s="13" customFormat="1" x14ac:dyDescent="0.2">
      <c r="B226" s="152"/>
      <c r="D226" s="145" t="s">
        <v>112</v>
      </c>
      <c r="E226" s="281" t="s">
        <v>18</v>
      </c>
      <c r="F226" s="154" t="s">
        <v>113</v>
      </c>
      <c r="H226" s="155">
        <f>H225</f>
        <v>370</v>
      </c>
      <c r="I226" s="156"/>
      <c r="L226" s="152"/>
      <c r="M226" s="157"/>
      <c r="T226" s="158"/>
      <c r="AT226" s="153"/>
      <c r="AU226" s="153"/>
      <c r="AY226" s="153"/>
    </row>
    <row r="227" spans="2:51" s="13" customFormat="1" ht="15" customHeight="1" x14ac:dyDescent="0.2">
      <c r="B227" s="152"/>
      <c r="C227" s="127"/>
      <c r="D227" s="127" t="s">
        <v>108</v>
      </c>
      <c r="E227" s="277" t="s">
        <v>374</v>
      </c>
      <c r="F227" s="129" t="s">
        <v>418</v>
      </c>
      <c r="G227" s="130" t="s">
        <v>109</v>
      </c>
      <c r="H227" s="131">
        <f>H230</f>
        <v>370</v>
      </c>
      <c r="I227" s="132"/>
      <c r="J227" s="133">
        <f>ROUND(I227*H227,2)</f>
        <v>0</v>
      </c>
      <c r="K227" s="129"/>
      <c r="L227" s="152"/>
      <c r="M227" s="157"/>
      <c r="T227" s="158"/>
      <c r="AT227" s="153"/>
      <c r="AU227" s="153"/>
      <c r="AY227" s="153"/>
    </row>
    <row r="228" spans="2:51" s="13" customFormat="1" x14ac:dyDescent="0.2">
      <c r="B228" s="152"/>
      <c r="C228" s="14"/>
      <c r="D228" s="145" t="s">
        <v>112</v>
      </c>
      <c r="E228" s="280" t="s">
        <v>18</v>
      </c>
      <c r="F228" s="161" t="str">
        <f>F224</f>
        <v>EPDM</v>
      </c>
      <c r="G228" s="14"/>
      <c r="H228" s="160" t="s">
        <v>18</v>
      </c>
      <c r="I228" s="162"/>
      <c r="J228" s="14"/>
      <c r="K228" s="14"/>
      <c r="L228" s="152"/>
      <c r="M228" s="157"/>
      <c r="T228" s="158"/>
      <c r="AT228" s="153"/>
      <c r="AU228" s="153"/>
      <c r="AY228" s="153"/>
    </row>
    <row r="229" spans="2:51" s="13" customFormat="1" x14ac:dyDescent="0.2">
      <c r="B229" s="152"/>
      <c r="C229" s="12"/>
      <c r="D229" s="145" t="s">
        <v>112</v>
      </c>
      <c r="E229" s="278" t="s">
        <v>18</v>
      </c>
      <c r="F229" s="147" t="str">
        <f>F225</f>
        <v>125+140+105</v>
      </c>
      <c r="G229" s="12"/>
      <c r="H229" s="148">
        <f>H225</f>
        <v>370</v>
      </c>
      <c r="I229" s="149"/>
      <c r="J229" s="12"/>
      <c r="K229" s="12"/>
      <c r="L229" s="152"/>
      <c r="M229" s="157"/>
      <c r="T229" s="158"/>
      <c r="AT229" s="153"/>
      <c r="AU229" s="153"/>
      <c r="AY229" s="153"/>
    </row>
    <row r="230" spans="2:51" s="13" customFormat="1" x14ac:dyDescent="0.2">
      <c r="B230" s="152"/>
      <c r="D230" s="145" t="s">
        <v>112</v>
      </c>
      <c r="E230" s="281" t="s">
        <v>18</v>
      </c>
      <c r="F230" s="154" t="s">
        <v>113</v>
      </c>
      <c r="H230" s="155">
        <f>H229</f>
        <v>370</v>
      </c>
      <c r="I230" s="156"/>
      <c r="L230" s="152"/>
      <c r="M230" s="157"/>
      <c r="T230" s="158"/>
      <c r="AT230" s="153"/>
      <c r="AU230" s="153"/>
      <c r="AY230" s="153"/>
    </row>
    <row r="231" spans="2:51" s="13" customFormat="1" ht="25.5" customHeight="1" x14ac:dyDescent="0.2">
      <c r="B231" s="152"/>
      <c r="C231" s="127"/>
      <c r="D231" s="127" t="s">
        <v>108</v>
      </c>
      <c r="E231" s="277" t="s">
        <v>375</v>
      </c>
      <c r="F231" s="267" t="s">
        <v>446</v>
      </c>
      <c r="G231" s="130" t="s">
        <v>109</v>
      </c>
      <c r="H231" s="131">
        <f>H234</f>
        <v>125</v>
      </c>
      <c r="I231" s="132"/>
      <c r="J231" s="133">
        <f>ROUND(I231*H231,2)</f>
        <v>0</v>
      </c>
      <c r="K231" s="129"/>
      <c r="L231" s="152"/>
      <c r="M231" s="157"/>
      <c r="T231" s="158"/>
      <c r="AT231" s="153"/>
      <c r="AU231" s="153"/>
      <c r="AY231" s="153"/>
    </row>
    <row r="232" spans="2:51" s="13" customFormat="1" x14ac:dyDescent="0.2">
      <c r="B232" s="152"/>
      <c r="C232" s="14"/>
      <c r="D232" s="145" t="s">
        <v>112</v>
      </c>
      <c r="E232" s="280" t="s">
        <v>18</v>
      </c>
      <c r="F232" s="161" t="str">
        <f>F228</f>
        <v>EPDM</v>
      </c>
      <c r="G232" s="14"/>
      <c r="H232" s="160" t="s">
        <v>18</v>
      </c>
      <c r="I232" s="162"/>
      <c r="J232" s="14"/>
      <c r="K232" s="14"/>
      <c r="L232" s="152"/>
      <c r="M232" s="157"/>
      <c r="T232" s="158"/>
      <c r="AT232" s="153"/>
      <c r="AU232" s="153"/>
      <c r="AY232" s="153"/>
    </row>
    <row r="233" spans="2:51" s="13" customFormat="1" x14ac:dyDescent="0.2">
      <c r="B233" s="152"/>
      <c r="C233" s="12"/>
      <c r="D233" s="145" t="s">
        <v>112</v>
      </c>
      <c r="E233" s="278" t="s">
        <v>18</v>
      </c>
      <c r="F233" s="147">
        <v>125</v>
      </c>
      <c r="G233" s="12"/>
      <c r="H233" s="148">
        <f>F233</f>
        <v>125</v>
      </c>
      <c r="I233" s="149"/>
      <c r="J233" s="12"/>
      <c r="K233" s="12"/>
      <c r="L233" s="152"/>
      <c r="M233" s="157"/>
      <c r="T233" s="158"/>
      <c r="AT233" s="153"/>
      <c r="AU233" s="153"/>
      <c r="AY233" s="153"/>
    </row>
    <row r="234" spans="2:51" s="13" customFormat="1" x14ac:dyDescent="0.2">
      <c r="B234" s="152"/>
      <c r="D234" s="145" t="s">
        <v>112</v>
      </c>
      <c r="E234" s="281" t="s">
        <v>18</v>
      </c>
      <c r="F234" s="154" t="s">
        <v>113</v>
      </c>
      <c r="H234" s="155">
        <f>H233</f>
        <v>125</v>
      </c>
      <c r="I234" s="156"/>
      <c r="L234" s="152"/>
      <c r="M234" s="157"/>
      <c r="T234" s="158"/>
      <c r="AT234" s="153"/>
      <c r="AU234" s="153"/>
      <c r="AY234" s="153"/>
    </row>
    <row r="235" spans="2:51" s="13" customFormat="1" ht="24.75" customHeight="1" x14ac:dyDescent="0.2">
      <c r="B235" s="152"/>
      <c r="C235" s="127"/>
      <c r="D235" s="127" t="s">
        <v>108</v>
      </c>
      <c r="E235" s="277" t="s">
        <v>375</v>
      </c>
      <c r="F235" s="267" t="s">
        <v>445</v>
      </c>
      <c r="G235" s="130" t="s">
        <v>109</v>
      </c>
      <c r="H235" s="131">
        <f>H238</f>
        <v>140</v>
      </c>
      <c r="I235" s="132"/>
      <c r="J235" s="133">
        <f>ROUND(I235*H235,2)</f>
        <v>0</v>
      </c>
      <c r="K235" s="129"/>
      <c r="L235" s="152"/>
      <c r="M235" s="157"/>
      <c r="T235" s="158"/>
      <c r="AT235" s="153"/>
      <c r="AU235" s="153"/>
      <c r="AY235" s="153"/>
    </row>
    <row r="236" spans="2:51" s="13" customFormat="1" x14ac:dyDescent="0.2">
      <c r="B236" s="152"/>
      <c r="C236" s="14"/>
      <c r="D236" s="145" t="s">
        <v>112</v>
      </c>
      <c r="E236" s="280" t="s">
        <v>18</v>
      </c>
      <c r="F236" s="161" t="str">
        <f>F232</f>
        <v>EPDM</v>
      </c>
      <c r="G236" s="14"/>
      <c r="H236" s="160" t="s">
        <v>18</v>
      </c>
      <c r="I236" s="162"/>
      <c r="J236" s="14"/>
      <c r="K236" s="14"/>
      <c r="L236" s="152"/>
      <c r="M236" s="157"/>
      <c r="T236" s="158"/>
      <c r="AT236" s="153"/>
      <c r="AU236" s="153"/>
      <c r="AY236" s="153"/>
    </row>
    <row r="237" spans="2:51" s="13" customFormat="1" x14ac:dyDescent="0.2">
      <c r="B237" s="152"/>
      <c r="C237" s="12"/>
      <c r="D237" s="145" t="s">
        <v>112</v>
      </c>
      <c r="E237" s="278" t="s">
        <v>18</v>
      </c>
      <c r="F237" s="286">
        <v>140</v>
      </c>
      <c r="G237" s="12"/>
      <c r="H237" s="148">
        <f>F237</f>
        <v>140</v>
      </c>
      <c r="I237" s="149"/>
      <c r="J237" s="12"/>
      <c r="K237" s="12"/>
      <c r="L237" s="152"/>
      <c r="M237" s="157"/>
      <c r="T237" s="158"/>
      <c r="AT237" s="153"/>
      <c r="AU237" s="153"/>
      <c r="AY237" s="153"/>
    </row>
    <row r="238" spans="2:51" s="13" customFormat="1" x14ac:dyDescent="0.2">
      <c r="B238" s="152"/>
      <c r="D238" s="145" t="s">
        <v>112</v>
      </c>
      <c r="E238" s="281" t="s">
        <v>18</v>
      </c>
      <c r="F238" s="154" t="s">
        <v>113</v>
      </c>
      <c r="H238" s="155">
        <f>H237</f>
        <v>140</v>
      </c>
      <c r="I238" s="156"/>
      <c r="L238" s="152"/>
      <c r="M238" s="157"/>
      <c r="T238" s="158"/>
      <c r="AT238" s="153"/>
      <c r="AU238" s="153"/>
      <c r="AY238" s="153"/>
    </row>
    <row r="239" spans="2:51" s="13" customFormat="1" ht="25.5" customHeight="1" x14ac:dyDescent="0.2">
      <c r="B239" s="152"/>
      <c r="C239" s="127"/>
      <c r="D239" s="127" t="s">
        <v>108</v>
      </c>
      <c r="E239" s="277" t="s">
        <v>375</v>
      </c>
      <c r="F239" s="267" t="s">
        <v>447</v>
      </c>
      <c r="G239" s="130" t="s">
        <v>109</v>
      </c>
      <c r="H239" s="131">
        <f>H242</f>
        <v>105</v>
      </c>
      <c r="I239" s="132"/>
      <c r="J239" s="133">
        <f>ROUND(I239*H239,2)</f>
        <v>0</v>
      </c>
      <c r="K239" s="129"/>
      <c r="L239" s="152"/>
      <c r="M239" s="157"/>
      <c r="T239" s="158"/>
      <c r="AT239" s="153"/>
      <c r="AU239" s="153"/>
      <c r="AY239" s="153"/>
    </row>
    <row r="240" spans="2:51" s="13" customFormat="1" x14ac:dyDescent="0.2">
      <c r="B240" s="152"/>
      <c r="C240" s="14"/>
      <c r="D240" s="145" t="s">
        <v>112</v>
      </c>
      <c r="E240" s="280" t="s">
        <v>18</v>
      </c>
      <c r="F240" s="161" t="str">
        <f>F236</f>
        <v>EPDM</v>
      </c>
      <c r="G240" s="14"/>
      <c r="H240" s="160" t="s">
        <v>18</v>
      </c>
      <c r="I240" s="162"/>
      <c r="J240" s="14"/>
      <c r="K240" s="14"/>
      <c r="L240" s="152"/>
      <c r="M240" s="157"/>
      <c r="T240" s="158"/>
      <c r="AT240" s="153"/>
      <c r="AU240" s="153"/>
      <c r="AY240" s="153"/>
    </row>
    <row r="241" spans="2:51" s="13" customFormat="1" x14ac:dyDescent="0.2">
      <c r="B241" s="152"/>
      <c r="C241" s="12"/>
      <c r="D241" s="145" t="s">
        <v>112</v>
      </c>
      <c r="E241" s="278" t="s">
        <v>18</v>
      </c>
      <c r="F241" s="147">
        <v>105</v>
      </c>
      <c r="G241" s="12"/>
      <c r="H241" s="148">
        <f>F241</f>
        <v>105</v>
      </c>
      <c r="I241" s="149"/>
      <c r="J241" s="12"/>
      <c r="K241" s="12"/>
      <c r="L241" s="152"/>
      <c r="M241" s="157"/>
      <c r="T241" s="158"/>
      <c r="AT241" s="153"/>
      <c r="AU241" s="153"/>
      <c r="AY241" s="153"/>
    </row>
    <row r="242" spans="2:51" s="13" customFormat="1" x14ac:dyDescent="0.2">
      <c r="B242" s="152"/>
      <c r="D242" s="145" t="s">
        <v>112</v>
      </c>
      <c r="E242" s="281" t="s">
        <v>18</v>
      </c>
      <c r="F242" s="154" t="s">
        <v>113</v>
      </c>
      <c r="H242" s="155">
        <f>H241</f>
        <v>105</v>
      </c>
      <c r="I242" s="156"/>
      <c r="L242" s="152"/>
      <c r="M242" s="157"/>
      <c r="T242" s="158"/>
      <c r="AT242" s="153"/>
      <c r="AU242" s="153"/>
      <c r="AY242" s="153"/>
    </row>
    <row r="243" spans="2:51" s="13" customFormat="1" ht="15" customHeight="1" x14ac:dyDescent="0.2">
      <c r="B243" s="152"/>
      <c r="C243" s="127"/>
      <c r="D243" s="127" t="s">
        <v>108</v>
      </c>
      <c r="E243" s="277" t="s">
        <v>461</v>
      </c>
      <c r="F243" s="267" t="s">
        <v>462</v>
      </c>
      <c r="G243" s="130" t="s">
        <v>394</v>
      </c>
      <c r="H243" s="131">
        <f>H246</f>
        <v>100</v>
      </c>
      <c r="I243" s="132"/>
      <c r="J243" s="133">
        <f>ROUND(I243*H243,2)</f>
        <v>0</v>
      </c>
      <c r="K243" s="129" t="s">
        <v>412</v>
      </c>
      <c r="L243" s="152"/>
      <c r="M243" s="157"/>
      <c r="T243" s="158"/>
      <c r="AT243" s="153"/>
      <c r="AU243" s="153"/>
      <c r="AY243" s="153"/>
    </row>
    <row r="244" spans="2:51" s="13" customFormat="1" x14ac:dyDescent="0.2">
      <c r="B244" s="152"/>
      <c r="C244" s="14"/>
      <c r="D244" s="145" t="s">
        <v>112</v>
      </c>
      <c r="E244" s="280" t="s">
        <v>18</v>
      </c>
      <c r="F244" s="161" t="s">
        <v>463</v>
      </c>
      <c r="G244" s="14"/>
      <c r="H244" s="160" t="s">
        <v>18</v>
      </c>
      <c r="I244" s="162"/>
      <c r="J244" s="14"/>
      <c r="K244" s="14"/>
      <c r="L244" s="152"/>
      <c r="M244" s="157"/>
      <c r="T244" s="158"/>
      <c r="AT244" s="153"/>
      <c r="AU244" s="153"/>
      <c r="AY244" s="153"/>
    </row>
    <row r="245" spans="2:51" s="13" customFormat="1" x14ac:dyDescent="0.2">
      <c r="B245" s="152"/>
      <c r="C245" s="12"/>
      <c r="D245" s="145" t="s">
        <v>112</v>
      </c>
      <c r="E245" s="278" t="s">
        <v>18</v>
      </c>
      <c r="F245" s="147">
        <v>100</v>
      </c>
      <c r="G245" s="12"/>
      <c r="H245" s="148">
        <f>F245</f>
        <v>100</v>
      </c>
      <c r="I245" s="149"/>
      <c r="J245" s="12"/>
      <c r="K245" s="12"/>
      <c r="L245" s="152"/>
      <c r="M245" s="157"/>
      <c r="T245" s="158"/>
      <c r="AT245" s="153"/>
      <c r="AU245" s="153"/>
      <c r="AY245" s="153"/>
    </row>
    <row r="246" spans="2:51" s="13" customFormat="1" x14ac:dyDescent="0.2">
      <c r="B246" s="152"/>
      <c r="D246" s="145" t="s">
        <v>112</v>
      </c>
      <c r="E246" s="281" t="s">
        <v>18</v>
      </c>
      <c r="F246" s="154" t="s">
        <v>113</v>
      </c>
      <c r="H246" s="155">
        <f>H245</f>
        <v>100</v>
      </c>
      <c r="I246" s="156"/>
      <c r="L246" s="152"/>
      <c r="M246" s="157"/>
      <c r="T246" s="158"/>
      <c r="AT246" s="153"/>
      <c r="AU246" s="153"/>
      <c r="AY246" s="153"/>
    </row>
    <row r="247" spans="2:51" s="13" customFormat="1" ht="15" customHeight="1" x14ac:dyDescent="0.2">
      <c r="B247" s="152"/>
      <c r="C247" s="127"/>
      <c r="D247" s="127" t="s">
        <v>108</v>
      </c>
      <c r="E247" s="277" t="s">
        <v>460</v>
      </c>
      <c r="F247" s="267" t="s">
        <v>459</v>
      </c>
      <c r="G247" s="130" t="s">
        <v>109</v>
      </c>
      <c r="H247" s="131">
        <f t="shared" ref="H247" si="5">H250</f>
        <v>60</v>
      </c>
      <c r="I247" s="132"/>
      <c r="J247" s="133">
        <f t="shared" ref="J247" si="6">ROUND(I247*H247,2)</f>
        <v>0</v>
      </c>
      <c r="K247" s="129" t="s">
        <v>412</v>
      </c>
      <c r="L247" s="152"/>
      <c r="M247" s="157"/>
      <c r="T247" s="158"/>
      <c r="AT247" s="153"/>
      <c r="AU247" s="153"/>
      <c r="AY247" s="153"/>
    </row>
    <row r="248" spans="2:51" s="13" customFormat="1" x14ac:dyDescent="0.2">
      <c r="B248" s="152"/>
      <c r="C248" s="14"/>
      <c r="D248" s="145" t="s">
        <v>112</v>
      </c>
      <c r="E248" s="280" t="s">
        <v>18</v>
      </c>
      <c r="F248" s="161" t="str">
        <f>F256</f>
        <v>Nově navržená plocha</v>
      </c>
      <c r="G248" s="14"/>
      <c r="H248" s="160" t="s">
        <v>18</v>
      </c>
      <c r="I248" s="162"/>
      <c r="J248" s="14"/>
      <c r="K248" s="14"/>
      <c r="L248" s="152"/>
      <c r="M248" s="157"/>
      <c r="T248" s="158"/>
      <c r="AT248" s="153"/>
      <c r="AU248" s="153"/>
      <c r="AY248" s="153"/>
    </row>
    <row r="249" spans="2:51" s="13" customFormat="1" x14ac:dyDescent="0.2">
      <c r="B249" s="152"/>
      <c r="C249" s="12"/>
      <c r="D249" s="145" t="s">
        <v>112</v>
      </c>
      <c r="E249" s="278" t="s">
        <v>18</v>
      </c>
      <c r="F249" s="147">
        <f>F253</f>
        <v>60</v>
      </c>
      <c r="G249" s="12"/>
      <c r="H249" s="148">
        <f>F249</f>
        <v>60</v>
      </c>
      <c r="I249" s="149"/>
      <c r="J249" s="12"/>
      <c r="K249" s="12"/>
      <c r="L249" s="152"/>
      <c r="M249" s="157"/>
      <c r="T249" s="158"/>
      <c r="AT249" s="153"/>
      <c r="AU249" s="153"/>
      <c r="AY249" s="153"/>
    </row>
    <row r="250" spans="2:51" s="13" customFormat="1" x14ac:dyDescent="0.2">
      <c r="B250" s="152"/>
      <c r="D250" s="145" t="s">
        <v>112</v>
      </c>
      <c r="E250" s="281" t="s">
        <v>18</v>
      </c>
      <c r="F250" s="154" t="s">
        <v>113</v>
      </c>
      <c r="H250" s="155">
        <f t="shared" ref="H250" si="7">H249</f>
        <v>60</v>
      </c>
      <c r="I250" s="156"/>
      <c r="L250" s="152"/>
      <c r="M250" s="157"/>
      <c r="T250" s="158"/>
      <c r="AT250" s="153"/>
      <c r="AU250" s="153"/>
      <c r="AY250" s="153"/>
    </row>
    <row r="251" spans="2:51" s="13" customFormat="1" ht="15" customHeight="1" x14ac:dyDescent="0.2">
      <c r="B251" s="152"/>
      <c r="C251" s="127"/>
      <c r="D251" s="127" t="s">
        <v>108</v>
      </c>
      <c r="E251" s="277" t="s">
        <v>458</v>
      </c>
      <c r="F251" s="267" t="s">
        <v>457</v>
      </c>
      <c r="G251" s="130" t="s">
        <v>109</v>
      </c>
      <c r="H251" s="131">
        <f t="shared" ref="H251" si="8">H254</f>
        <v>60</v>
      </c>
      <c r="I251" s="132"/>
      <c r="J251" s="133">
        <f t="shared" ref="J251" si="9">ROUND(I251*H251,2)</f>
        <v>0</v>
      </c>
      <c r="K251" s="129" t="s">
        <v>412</v>
      </c>
      <c r="L251" s="152"/>
      <c r="M251" s="157"/>
      <c r="T251" s="158"/>
      <c r="AT251" s="153"/>
      <c r="AU251" s="153"/>
      <c r="AY251" s="153"/>
    </row>
    <row r="252" spans="2:51" s="13" customFormat="1" x14ac:dyDescent="0.2">
      <c r="B252" s="152"/>
      <c r="C252" s="14"/>
      <c r="D252" s="145" t="s">
        <v>112</v>
      </c>
      <c r="E252" s="280" t="s">
        <v>18</v>
      </c>
      <c r="F252" s="161" t="str">
        <f>F256</f>
        <v>Nově navržená plocha</v>
      </c>
      <c r="G252" s="14"/>
      <c r="H252" s="160" t="s">
        <v>18</v>
      </c>
      <c r="I252" s="162"/>
      <c r="J252" s="14"/>
      <c r="K252" s="14"/>
      <c r="L252" s="152"/>
      <c r="M252" s="157"/>
      <c r="T252" s="158"/>
      <c r="AT252" s="153"/>
      <c r="AU252" s="153"/>
      <c r="AY252" s="153"/>
    </row>
    <row r="253" spans="2:51" s="13" customFormat="1" x14ac:dyDescent="0.2">
      <c r="B253" s="152"/>
      <c r="C253" s="12"/>
      <c r="D253" s="145" t="s">
        <v>112</v>
      </c>
      <c r="E253" s="278" t="s">
        <v>18</v>
      </c>
      <c r="F253" s="147">
        <f>F257</f>
        <v>60</v>
      </c>
      <c r="G253" s="12"/>
      <c r="H253" s="148">
        <f t="shared" ref="H253" si="10">H249</f>
        <v>60</v>
      </c>
      <c r="I253" s="149"/>
      <c r="J253" s="12"/>
      <c r="K253" s="12"/>
      <c r="L253" s="152"/>
      <c r="M253" s="157"/>
      <c r="T253" s="158"/>
      <c r="AT253" s="153"/>
      <c r="AU253" s="153"/>
      <c r="AY253" s="153"/>
    </row>
    <row r="254" spans="2:51" s="13" customFormat="1" x14ac:dyDescent="0.2">
      <c r="B254" s="152"/>
      <c r="D254" s="145" t="s">
        <v>112</v>
      </c>
      <c r="E254" s="281" t="s">
        <v>18</v>
      </c>
      <c r="F254" s="154" t="s">
        <v>113</v>
      </c>
      <c r="H254" s="155">
        <f t="shared" ref="H254" si="11">H253</f>
        <v>60</v>
      </c>
      <c r="I254" s="156"/>
      <c r="L254" s="152"/>
      <c r="M254" s="157"/>
      <c r="T254" s="158"/>
      <c r="AT254" s="153"/>
      <c r="AU254" s="153"/>
      <c r="AY254" s="153"/>
    </row>
    <row r="255" spans="2:51" s="13" customFormat="1" ht="15" customHeight="1" x14ac:dyDescent="0.2">
      <c r="B255" s="152"/>
      <c r="C255" s="165"/>
      <c r="D255" s="165" t="s">
        <v>120</v>
      </c>
      <c r="E255" s="283" t="s">
        <v>426</v>
      </c>
      <c r="F255" s="167" t="s">
        <v>455</v>
      </c>
      <c r="G255" s="168" t="s">
        <v>109</v>
      </c>
      <c r="H255" s="169">
        <f>H257</f>
        <v>60</v>
      </c>
      <c r="I255" s="170"/>
      <c r="J255" s="171">
        <f>ROUND(I255*H255,2)</f>
        <v>0</v>
      </c>
      <c r="K255" s="167" t="s">
        <v>412</v>
      </c>
      <c r="L255" s="152"/>
      <c r="M255" s="157"/>
      <c r="T255" s="158"/>
      <c r="AT255" s="153"/>
      <c r="AU255" s="153"/>
      <c r="AY255" s="153"/>
    </row>
    <row r="256" spans="2:51" s="13" customFormat="1" x14ac:dyDescent="0.2">
      <c r="B256" s="152"/>
      <c r="C256" s="14"/>
      <c r="D256" s="145" t="s">
        <v>112</v>
      </c>
      <c r="E256" s="280" t="s">
        <v>18</v>
      </c>
      <c r="F256" s="161" t="s">
        <v>456</v>
      </c>
      <c r="G256" s="14"/>
      <c r="H256" s="160" t="s">
        <v>18</v>
      </c>
      <c r="I256" s="162"/>
      <c r="J256" s="14"/>
      <c r="K256" s="14"/>
      <c r="L256" s="152"/>
      <c r="M256" s="157"/>
      <c r="T256" s="158"/>
      <c r="AT256" s="153"/>
      <c r="AU256" s="153"/>
      <c r="AY256" s="153"/>
    </row>
    <row r="257" spans="2:51" s="13" customFormat="1" x14ac:dyDescent="0.2">
      <c r="B257" s="152"/>
      <c r="C257" s="12"/>
      <c r="D257" s="145" t="s">
        <v>112</v>
      </c>
      <c r="E257" s="278" t="s">
        <v>18</v>
      </c>
      <c r="F257" s="147">
        <v>60</v>
      </c>
      <c r="G257" s="12"/>
      <c r="H257" s="148">
        <f>F257</f>
        <v>60</v>
      </c>
      <c r="I257" s="149"/>
      <c r="J257" s="12"/>
      <c r="K257" s="12"/>
      <c r="L257" s="152"/>
      <c r="M257" s="157"/>
      <c r="T257" s="158"/>
      <c r="AT257" s="153"/>
      <c r="AU257" s="153"/>
      <c r="AY257" s="153"/>
    </row>
    <row r="258" spans="2:51" s="13" customFormat="1" x14ac:dyDescent="0.2">
      <c r="B258" s="152"/>
      <c r="C258" s="14"/>
      <c r="D258" s="145" t="s">
        <v>112</v>
      </c>
      <c r="E258" s="281" t="s">
        <v>18</v>
      </c>
      <c r="F258" s="154" t="s">
        <v>113</v>
      </c>
      <c r="H258" s="155">
        <f t="shared" ref="H258" si="12">H257</f>
        <v>60</v>
      </c>
      <c r="I258" s="156"/>
      <c r="J258" s="14"/>
      <c r="K258" s="14"/>
      <c r="L258" s="152"/>
      <c r="M258" s="157"/>
      <c r="T258" s="158"/>
      <c r="AT258" s="153"/>
      <c r="AU258" s="153"/>
      <c r="AY258" s="153"/>
    </row>
    <row r="259" spans="2:51" s="13" customFormat="1" ht="15" customHeight="1" x14ac:dyDescent="0.2">
      <c r="B259" s="152"/>
      <c r="C259" s="127"/>
      <c r="D259" s="127" t="s">
        <v>108</v>
      </c>
      <c r="E259" s="277" t="s">
        <v>406</v>
      </c>
      <c r="F259" s="267" t="s">
        <v>405</v>
      </c>
      <c r="G259" s="130" t="s">
        <v>109</v>
      </c>
      <c r="H259" s="131">
        <f t="shared" ref="H259" si="13">H262</f>
        <v>25</v>
      </c>
      <c r="I259" s="132"/>
      <c r="J259" s="133">
        <f t="shared" ref="J259" si="14">ROUND(I259*H259,2)</f>
        <v>0</v>
      </c>
      <c r="K259" s="129" t="s">
        <v>412</v>
      </c>
      <c r="L259" s="152"/>
      <c r="M259" s="157"/>
      <c r="T259" s="158"/>
      <c r="AT259" s="153"/>
      <c r="AU259" s="153"/>
      <c r="AY259" s="153"/>
    </row>
    <row r="260" spans="2:51" s="13" customFormat="1" x14ac:dyDescent="0.2">
      <c r="B260" s="152"/>
      <c r="C260" s="14"/>
      <c r="D260" s="145" t="s">
        <v>112</v>
      </c>
      <c r="E260" s="280" t="s">
        <v>18</v>
      </c>
      <c r="F260" s="161" t="s">
        <v>404</v>
      </c>
      <c r="G260" s="14"/>
      <c r="H260" s="160" t="s">
        <v>18</v>
      </c>
      <c r="I260" s="162"/>
      <c r="J260" s="14"/>
      <c r="K260" s="14"/>
      <c r="L260" s="152"/>
      <c r="M260" s="157"/>
      <c r="T260" s="158"/>
      <c r="AT260" s="153"/>
      <c r="AU260" s="153"/>
      <c r="AY260" s="153"/>
    </row>
    <row r="261" spans="2:51" s="13" customFormat="1" x14ac:dyDescent="0.2">
      <c r="B261" s="152"/>
      <c r="C261" s="12"/>
      <c r="D261" s="145" t="s">
        <v>112</v>
      </c>
      <c r="E261" s="278" t="s">
        <v>18</v>
      </c>
      <c r="F261" s="147">
        <v>25</v>
      </c>
      <c r="G261" s="12"/>
      <c r="H261" s="148">
        <f>F261</f>
        <v>25</v>
      </c>
      <c r="I261" s="149"/>
      <c r="J261" s="12"/>
      <c r="K261" s="12"/>
      <c r="L261" s="152"/>
      <c r="M261" s="157"/>
      <c r="T261" s="158"/>
      <c r="AT261" s="153"/>
      <c r="AU261" s="153"/>
      <c r="AY261" s="153"/>
    </row>
    <row r="262" spans="2:51" s="13" customFormat="1" x14ac:dyDescent="0.2">
      <c r="B262" s="152"/>
      <c r="D262" s="145" t="s">
        <v>112</v>
      </c>
      <c r="E262" s="153" t="s">
        <v>18</v>
      </c>
      <c r="F262" s="154" t="s">
        <v>113</v>
      </c>
      <c r="H262" s="155">
        <f t="shared" ref="H262" si="15">H261</f>
        <v>25</v>
      </c>
      <c r="I262" s="156"/>
      <c r="L262" s="152"/>
      <c r="M262" s="157"/>
      <c r="T262" s="158"/>
      <c r="AT262" s="153"/>
      <c r="AU262" s="153"/>
      <c r="AY262" s="153"/>
    </row>
    <row r="263" spans="2:51" s="13" customFormat="1" ht="15" customHeight="1" x14ac:dyDescent="0.2">
      <c r="B263" s="152"/>
      <c r="C263" s="127"/>
      <c r="D263" s="127" t="s">
        <v>108</v>
      </c>
      <c r="E263" s="277" t="s">
        <v>407</v>
      </c>
      <c r="F263" s="267" t="s">
        <v>408</v>
      </c>
      <c r="G263" s="130" t="s">
        <v>109</v>
      </c>
      <c r="H263" s="131">
        <f t="shared" ref="H263" si="16">H266</f>
        <v>25</v>
      </c>
      <c r="I263" s="132"/>
      <c r="J263" s="133">
        <f t="shared" ref="J263" si="17">ROUND(I263*H263,2)</f>
        <v>0</v>
      </c>
      <c r="K263" s="129" t="s">
        <v>412</v>
      </c>
      <c r="L263" s="152"/>
      <c r="M263" s="157"/>
      <c r="T263" s="158"/>
      <c r="AT263" s="153"/>
      <c r="AU263" s="153"/>
      <c r="AY263" s="153"/>
    </row>
    <row r="264" spans="2:51" s="13" customFormat="1" x14ac:dyDescent="0.2">
      <c r="B264" s="152"/>
      <c r="C264" s="14"/>
      <c r="D264" s="145" t="s">
        <v>112</v>
      </c>
      <c r="E264" s="280" t="s">
        <v>18</v>
      </c>
      <c r="F264" s="161" t="str">
        <f t="shared" ref="F264:F265" si="18">F260</f>
        <v>Pískoviště</v>
      </c>
      <c r="G264" s="14"/>
      <c r="H264" s="160" t="s">
        <v>18</v>
      </c>
      <c r="I264" s="162"/>
      <c r="J264" s="14"/>
      <c r="K264" s="14"/>
      <c r="L264" s="152"/>
      <c r="M264" s="157"/>
      <c r="T264" s="158"/>
      <c r="AT264" s="153"/>
      <c r="AU264" s="153"/>
      <c r="AY264" s="153"/>
    </row>
    <row r="265" spans="2:51" s="13" customFormat="1" x14ac:dyDescent="0.2">
      <c r="B265" s="152"/>
      <c r="C265" s="12"/>
      <c r="D265" s="145" t="s">
        <v>112</v>
      </c>
      <c r="E265" s="278" t="s">
        <v>18</v>
      </c>
      <c r="F265" s="147">
        <f t="shared" si="18"/>
        <v>25</v>
      </c>
      <c r="G265" s="12"/>
      <c r="H265" s="148">
        <f t="shared" ref="H265" si="19">H261</f>
        <v>25</v>
      </c>
      <c r="I265" s="149"/>
      <c r="J265" s="12"/>
      <c r="K265" s="12"/>
      <c r="L265" s="152"/>
      <c r="M265" s="157"/>
      <c r="T265" s="158"/>
      <c r="AT265" s="153"/>
      <c r="AU265" s="153"/>
      <c r="AY265" s="153"/>
    </row>
    <row r="266" spans="2:51" s="13" customFormat="1" x14ac:dyDescent="0.2">
      <c r="B266" s="152"/>
      <c r="D266" s="145" t="s">
        <v>112</v>
      </c>
      <c r="E266" s="281" t="s">
        <v>18</v>
      </c>
      <c r="F266" s="154" t="s">
        <v>113</v>
      </c>
      <c r="H266" s="155">
        <f t="shared" ref="H266" si="20">H265</f>
        <v>25</v>
      </c>
      <c r="I266" s="156"/>
      <c r="L266" s="152"/>
      <c r="M266" s="157"/>
      <c r="T266" s="158"/>
      <c r="AT266" s="153"/>
      <c r="AU266" s="153"/>
      <c r="AY266" s="153"/>
    </row>
    <row r="267" spans="2:51" s="13" customFormat="1" ht="15" customHeight="1" x14ac:dyDescent="0.2">
      <c r="B267" s="152"/>
      <c r="C267" s="165"/>
      <c r="D267" s="165" t="s">
        <v>120</v>
      </c>
      <c r="E267" s="283" t="s">
        <v>426</v>
      </c>
      <c r="F267" s="167" t="s">
        <v>436</v>
      </c>
      <c r="G267" s="168" t="s">
        <v>109</v>
      </c>
      <c r="H267" s="169">
        <f>H269</f>
        <v>25</v>
      </c>
      <c r="I267" s="170"/>
      <c r="J267" s="171">
        <f>ROUND(I267*H267,2)</f>
        <v>0</v>
      </c>
      <c r="K267" s="167" t="s">
        <v>412</v>
      </c>
      <c r="L267" s="152"/>
      <c r="M267" s="157"/>
      <c r="T267" s="158"/>
      <c r="AT267" s="153"/>
      <c r="AU267" s="153"/>
      <c r="AY267" s="153"/>
    </row>
    <row r="268" spans="2:51" s="13" customFormat="1" x14ac:dyDescent="0.2">
      <c r="B268" s="152"/>
      <c r="C268" s="14"/>
      <c r="D268" s="145" t="s">
        <v>112</v>
      </c>
      <c r="E268" s="280" t="s">
        <v>18</v>
      </c>
      <c r="F268" s="161" t="str">
        <f t="shared" ref="F268" si="21">F264</f>
        <v>Pískoviště</v>
      </c>
      <c r="G268" s="14"/>
      <c r="H268" s="160" t="s">
        <v>18</v>
      </c>
      <c r="I268" s="162"/>
      <c r="J268" s="14"/>
      <c r="K268" s="14"/>
      <c r="L268" s="152"/>
      <c r="M268" s="157"/>
      <c r="T268" s="158"/>
      <c r="AT268" s="153"/>
      <c r="AU268" s="153"/>
      <c r="AY268" s="153"/>
    </row>
    <row r="269" spans="2:51" s="13" customFormat="1" x14ac:dyDescent="0.2">
      <c r="B269" s="152"/>
      <c r="C269" s="12"/>
      <c r="D269" s="145" t="s">
        <v>112</v>
      </c>
      <c r="E269" s="278" t="s">
        <v>18</v>
      </c>
      <c r="F269" s="147">
        <v>25</v>
      </c>
      <c r="G269" s="12"/>
      <c r="H269" s="148">
        <f>F269</f>
        <v>25</v>
      </c>
      <c r="I269" s="149"/>
      <c r="J269" s="12"/>
      <c r="K269" s="12"/>
      <c r="L269" s="152"/>
      <c r="M269" s="157"/>
      <c r="T269" s="158"/>
      <c r="AT269" s="153"/>
      <c r="AU269" s="153"/>
      <c r="AY269" s="153"/>
    </row>
    <row r="270" spans="2:51" s="13" customFormat="1" x14ac:dyDescent="0.2">
      <c r="B270" s="152"/>
      <c r="C270" s="14"/>
      <c r="D270" s="145" t="s">
        <v>112</v>
      </c>
      <c r="E270" s="281" t="s">
        <v>18</v>
      </c>
      <c r="F270" s="154" t="s">
        <v>113</v>
      </c>
      <c r="H270" s="155">
        <f t="shared" ref="H270" si="22">H269</f>
        <v>25</v>
      </c>
      <c r="I270" s="156"/>
      <c r="J270" s="14"/>
      <c r="K270" s="14"/>
      <c r="L270" s="152"/>
      <c r="M270" s="157"/>
      <c r="T270" s="158"/>
      <c r="AT270" s="153"/>
      <c r="AU270" s="153"/>
      <c r="AY270" s="153"/>
    </row>
    <row r="271" spans="2:51" s="13" customFormat="1" ht="15" customHeight="1" x14ac:dyDescent="0.2">
      <c r="B271" s="152"/>
      <c r="C271" s="127"/>
      <c r="D271" s="127" t="s">
        <v>108</v>
      </c>
      <c r="E271" s="277" t="s">
        <v>429</v>
      </c>
      <c r="F271" s="267" t="s">
        <v>421</v>
      </c>
      <c r="G271" s="130" t="s">
        <v>420</v>
      </c>
      <c r="H271" s="131">
        <v>2</v>
      </c>
      <c r="I271" s="132"/>
      <c r="J271" s="133">
        <f t="shared" ref="J271" si="23">ROUND(I271*H271,2)</f>
        <v>0</v>
      </c>
      <c r="K271" s="129" t="s">
        <v>412</v>
      </c>
      <c r="L271" s="152"/>
      <c r="M271" s="157"/>
      <c r="T271" s="158"/>
      <c r="AT271" s="153"/>
      <c r="AU271" s="153"/>
      <c r="AY271" s="153"/>
    </row>
    <row r="272" spans="2:51" s="13" customFormat="1" x14ac:dyDescent="0.2">
      <c r="B272" s="152"/>
      <c r="C272" s="14"/>
      <c r="D272" s="145" t="s">
        <v>112</v>
      </c>
      <c r="E272" s="280" t="s">
        <v>18</v>
      </c>
      <c r="F272" s="161" t="s">
        <v>422</v>
      </c>
      <c r="G272" s="14"/>
      <c r="H272" s="160" t="s">
        <v>18</v>
      </c>
      <c r="I272" s="162"/>
      <c r="J272" s="14"/>
      <c r="K272" s="14"/>
      <c r="L272" s="152"/>
      <c r="M272" s="157"/>
      <c r="T272" s="158"/>
      <c r="AT272" s="153"/>
      <c r="AU272" s="153"/>
      <c r="AY272" s="153"/>
    </row>
    <row r="273" spans="2:63" s="13" customFormat="1" ht="24" customHeight="1" x14ac:dyDescent="0.2">
      <c r="B273" s="152"/>
      <c r="C273" s="11"/>
      <c r="D273" s="116" t="s">
        <v>66</v>
      </c>
      <c r="E273" s="285">
        <v>766</v>
      </c>
      <c r="F273" s="125" t="s">
        <v>419</v>
      </c>
      <c r="G273" s="11"/>
      <c r="H273" s="11"/>
      <c r="I273" s="118"/>
      <c r="J273" s="126">
        <f>SUM(J274:J283)</f>
        <v>0</v>
      </c>
      <c r="K273" s="11"/>
      <c r="L273" s="152"/>
      <c r="M273" s="157"/>
      <c r="T273" s="158"/>
      <c r="AT273" s="153"/>
      <c r="AU273" s="153"/>
      <c r="AY273" s="153"/>
    </row>
    <row r="274" spans="2:63" s="13" customFormat="1" ht="15" customHeight="1" x14ac:dyDescent="0.2">
      <c r="B274" s="152"/>
      <c r="C274" s="165"/>
      <c r="D274" s="165" t="s">
        <v>120</v>
      </c>
      <c r="E274" s="283" t="s">
        <v>426</v>
      </c>
      <c r="F274" s="167" t="s">
        <v>464</v>
      </c>
      <c r="G274" s="168" t="s">
        <v>395</v>
      </c>
      <c r="H274" s="169">
        <f>H277</f>
        <v>220</v>
      </c>
      <c r="I274" s="170"/>
      <c r="J274" s="171">
        <f>ROUND(I274*H274,2)</f>
        <v>0</v>
      </c>
      <c r="K274" s="167"/>
      <c r="L274" s="152"/>
      <c r="M274" s="157"/>
      <c r="T274" s="158"/>
      <c r="AT274" s="153"/>
      <c r="AU274" s="153"/>
      <c r="AY274" s="153"/>
    </row>
    <row r="275" spans="2:63" s="13" customFormat="1" x14ac:dyDescent="0.2">
      <c r="B275" s="152"/>
      <c r="C275" s="14"/>
      <c r="D275" s="145" t="s">
        <v>112</v>
      </c>
      <c r="E275" s="280" t="s">
        <v>18</v>
      </c>
      <c r="F275" s="161" t="s">
        <v>465</v>
      </c>
      <c r="G275" s="14"/>
      <c r="H275" s="160" t="s">
        <v>18</v>
      </c>
      <c r="I275" s="162"/>
      <c r="J275" s="14"/>
      <c r="K275" s="14"/>
      <c r="L275" s="152"/>
      <c r="M275" s="157"/>
      <c r="T275" s="158"/>
      <c r="AT275" s="153"/>
      <c r="AU275" s="153"/>
      <c r="AY275" s="153"/>
    </row>
    <row r="276" spans="2:63" s="13" customFormat="1" x14ac:dyDescent="0.2">
      <c r="B276" s="152"/>
      <c r="C276" s="12"/>
      <c r="D276" s="145" t="s">
        <v>112</v>
      </c>
      <c r="E276" s="278" t="s">
        <v>18</v>
      </c>
      <c r="F276" s="147">
        <v>220</v>
      </c>
      <c r="G276" s="12"/>
      <c r="H276" s="148">
        <f>F276</f>
        <v>220</v>
      </c>
      <c r="I276" s="149"/>
      <c r="J276" s="12"/>
      <c r="K276" s="12"/>
      <c r="L276" s="152"/>
      <c r="M276" s="157"/>
      <c r="T276" s="158"/>
      <c r="AT276" s="153"/>
      <c r="AU276" s="153"/>
      <c r="AY276" s="153"/>
    </row>
    <row r="277" spans="2:63" s="13" customFormat="1" x14ac:dyDescent="0.2">
      <c r="B277" s="152"/>
      <c r="D277" s="145" t="s">
        <v>112</v>
      </c>
      <c r="E277" s="281" t="s">
        <v>18</v>
      </c>
      <c r="F277" s="154" t="s">
        <v>113</v>
      </c>
      <c r="H277" s="155">
        <f>H276</f>
        <v>220</v>
      </c>
      <c r="I277" s="156"/>
      <c r="L277" s="152"/>
      <c r="M277" s="157"/>
      <c r="T277" s="158"/>
      <c r="AT277" s="153"/>
      <c r="AU277" s="153"/>
      <c r="AY277" s="153"/>
    </row>
    <row r="278" spans="2:63" s="13" customFormat="1" ht="15" customHeight="1" x14ac:dyDescent="0.2">
      <c r="B278" s="152"/>
      <c r="C278" s="127"/>
      <c r="D278" s="127" t="s">
        <v>108</v>
      </c>
      <c r="E278" s="277" t="s">
        <v>467</v>
      </c>
      <c r="F278" s="129" t="s">
        <v>466</v>
      </c>
      <c r="G278" s="130" t="s">
        <v>123</v>
      </c>
      <c r="H278" s="131">
        <f>H281</f>
        <v>220</v>
      </c>
      <c r="I278" s="132"/>
      <c r="J278" s="133">
        <f>ROUND(I278*H278,2)</f>
        <v>0</v>
      </c>
      <c r="K278" s="129" t="s">
        <v>412</v>
      </c>
      <c r="L278" s="152"/>
      <c r="M278" s="157"/>
      <c r="T278" s="158"/>
      <c r="AT278" s="153"/>
      <c r="AU278" s="153"/>
      <c r="AY278" s="153"/>
    </row>
    <row r="279" spans="2:63" s="13" customFormat="1" x14ac:dyDescent="0.2">
      <c r="B279" s="152"/>
      <c r="C279" s="14"/>
      <c r="D279" s="145" t="s">
        <v>112</v>
      </c>
      <c r="E279" s="280" t="s">
        <v>18</v>
      </c>
      <c r="F279" s="161" t="s">
        <v>465</v>
      </c>
      <c r="G279" s="14"/>
      <c r="H279" s="160" t="s">
        <v>18</v>
      </c>
      <c r="I279" s="162"/>
      <c r="J279" s="14"/>
      <c r="K279" s="14"/>
      <c r="L279" s="152"/>
      <c r="M279" s="157"/>
      <c r="T279" s="158"/>
      <c r="AT279" s="153"/>
      <c r="AU279" s="153"/>
      <c r="AY279" s="153"/>
    </row>
    <row r="280" spans="2:63" s="13" customFormat="1" x14ac:dyDescent="0.2">
      <c r="B280" s="152"/>
      <c r="C280" s="12"/>
      <c r="D280" s="145" t="s">
        <v>112</v>
      </c>
      <c r="E280" s="278" t="s">
        <v>18</v>
      </c>
      <c r="F280" s="147">
        <v>220</v>
      </c>
      <c r="G280" s="12"/>
      <c r="H280" s="148">
        <f>F280</f>
        <v>220</v>
      </c>
      <c r="I280" s="149"/>
      <c r="J280" s="12"/>
      <c r="K280" s="12"/>
      <c r="L280" s="152"/>
      <c r="M280" s="157"/>
      <c r="T280" s="158"/>
      <c r="AT280" s="153"/>
      <c r="AU280" s="153"/>
      <c r="AY280" s="153"/>
    </row>
    <row r="281" spans="2:63" s="13" customFormat="1" x14ac:dyDescent="0.2">
      <c r="B281" s="152"/>
      <c r="D281" s="145" t="s">
        <v>112</v>
      </c>
      <c r="E281" s="281" t="s">
        <v>18</v>
      </c>
      <c r="F281" s="154" t="s">
        <v>113</v>
      </c>
      <c r="H281" s="155">
        <f t="shared" ref="H281" si="24">H280</f>
        <v>220</v>
      </c>
      <c r="I281" s="156"/>
      <c r="L281" s="152"/>
      <c r="M281" s="157"/>
      <c r="T281" s="158"/>
      <c r="AT281" s="153"/>
      <c r="AU281" s="153"/>
      <c r="AY281" s="153"/>
    </row>
    <row r="282" spans="2:63" s="13" customFormat="1" ht="15" customHeight="1" x14ac:dyDescent="0.2">
      <c r="B282" s="152"/>
      <c r="C282" s="127"/>
      <c r="D282" s="127" t="s">
        <v>108</v>
      </c>
      <c r="E282" s="277" t="s">
        <v>428</v>
      </c>
      <c r="F282" s="129" t="s">
        <v>427</v>
      </c>
      <c r="G282" s="130" t="s">
        <v>420</v>
      </c>
      <c r="H282" s="131">
        <v>5</v>
      </c>
      <c r="I282" s="132"/>
      <c r="J282" s="133">
        <f t="shared" ref="J282" si="25">ROUND(I282*H282,2)</f>
        <v>0</v>
      </c>
      <c r="K282" s="129" t="s">
        <v>412</v>
      </c>
      <c r="L282" s="152"/>
      <c r="M282" s="157"/>
      <c r="T282" s="158"/>
      <c r="AT282" s="153"/>
      <c r="AU282" s="153"/>
      <c r="AY282" s="153"/>
    </row>
    <row r="283" spans="2:63" s="13" customFormat="1" x14ac:dyDescent="0.2">
      <c r="B283" s="152"/>
      <c r="C283" s="14"/>
      <c r="D283" s="145" t="s">
        <v>112</v>
      </c>
      <c r="E283" s="160" t="s">
        <v>18</v>
      </c>
      <c r="F283" s="161" t="str">
        <f>F273</f>
        <v>Konstrukce truhlářské</v>
      </c>
      <c r="G283" s="14"/>
      <c r="H283" s="160" t="s">
        <v>18</v>
      </c>
      <c r="I283" s="162"/>
      <c r="J283" s="14"/>
      <c r="K283" s="14"/>
      <c r="L283" s="152"/>
      <c r="M283" s="157"/>
      <c r="T283" s="158"/>
      <c r="AT283" s="153"/>
      <c r="AU283" s="153"/>
      <c r="AY283" s="153"/>
    </row>
    <row r="284" spans="2:63" s="11" customFormat="1" ht="22.9" customHeight="1" x14ac:dyDescent="0.2">
      <c r="B284" s="115"/>
      <c r="D284" s="116" t="s">
        <v>66</v>
      </c>
      <c r="E284" s="125" t="s">
        <v>122</v>
      </c>
      <c r="F284" s="125" t="s">
        <v>137</v>
      </c>
      <c r="I284" s="118"/>
      <c r="J284" s="126">
        <f>SUM(J285:J325)</f>
        <v>0</v>
      </c>
      <c r="L284" s="115"/>
      <c r="M284" s="120"/>
      <c r="P284" s="121">
        <f>SUM(P310:P314)</f>
        <v>0</v>
      </c>
      <c r="R284" s="121">
        <f>SUM(R310:R314)</f>
        <v>0</v>
      </c>
      <c r="T284" s="122">
        <f>SUM(T310:T314)</f>
        <v>0</v>
      </c>
      <c r="AR284" s="116" t="s">
        <v>75</v>
      </c>
      <c r="AT284" s="123" t="s">
        <v>66</v>
      </c>
      <c r="AU284" s="123" t="s">
        <v>75</v>
      </c>
      <c r="AY284" s="116" t="s">
        <v>106</v>
      </c>
      <c r="BK284" s="124">
        <f>SUM(BK310:BK314)</f>
        <v>0</v>
      </c>
    </row>
    <row r="285" spans="2:63" s="11" customFormat="1" ht="15" customHeight="1" x14ac:dyDescent="0.2">
      <c r="B285" s="115"/>
      <c r="C285" s="165"/>
      <c r="D285" s="165" t="s">
        <v>120</v>
      </c>
      <c r="E285" s="166" t="s">
        <v>426</v>
      </c>
      <c r="F285" s="167" t="s">
        <v>480</v>
      </c>
      <c r="G285" s="168" t="s">
        <v>395</v>
      </c>
      <c r="H285" s="169">
        <v>1</v>
      </c>
      <c r="I285" s="170"/>
      <c r="J285" s="171">
        <f t="shared" ref="J285:J304" si="26">ROUND(I285*H285,2)</f>
        <v>0</v>
      </c>
      <c r="K285" s="167"/>
      <c r="L285" s="152"/>
      <c r="M285" s="120"/>
      <c r="P285" s="121"/>
      <c r="R285" s="121"/>
      <c r="T285" s="122"/>
      <c r="AR285" s="116"/>
      <c r="AT285" s="123"/>
      <c r="AU285" s="123"/>
      <c r="AY285" s="116"/>
      <c r="BK285" s="124"/>
    </row>
    <row r="286" spans="2:63" s="11" customFormat="1" ht="15" customHeight="1" x14ac:dyDescent="0.2">
      <c r="B286" s="115"/>
      <c r="C286" s="127"/>
      <c r="D286" s="127" t="s">
        <v>108</v>
      </c>
      <c r="E286" s="128" t="s">
        <v>355</v>
      </c>
      <c r="F286" s="129" t="s">
        <v>441</v>
      </c>
      <c r="G286" s="130" t="s">
        <v>395</v>
      </c>
      <c r="H286" s="131">
        <v>1</v>
      </c>
      <c r="I286" s="132"/>
      <c r="J286" s="133">
        <f t="shared" si="26"/>
        <v>0</v>
      </c>
      <c r="K286" s="129"/>
      <c r="L286" s="152"/>
      <c r="M286" s="120"/>
      <c r="P286" s="121"/>
      <c r="R286" s="121"/>
      <c r="T286" s="122"/>
      <c r="AR286" s="116"/>
      <c r="AT286" s="123"/>
      <c r="AU286" s="123"/>
      <c r="AY286" s="116"/>
      <c r="BK286" s="124"/>
    </row>
    <row r="287" spans="2:63" s="11" customFormat="1" ht="15" customHeight="1" x14ac:dyDescent="0.2">
      <c r="B287" s="115"/>
      <c r="C287" s="165"/>
      <c r="D287" s="165" t="s">
        <v>120</v>
      </c>
      <c r="E287" s="166" t="s">
        <v>426</v>
      </c>
      <c r="F287" s="167" t="s">
        <v>481</v>
      </c>
      <c r="G287" s="168" t="s">
        <v>395</v>
      </c>
      <c r="H287" s="169">
        <v>1</v>
      </c>
      <c r="I287" s="170"/>
      <c r="J287" s="171">
        <f t="shared" si="26"/>
        <v>0</v>
      </c>
      <c r="K287" s="167" t="s">
        <v>18</v>
      </c>
      <c r="L287" s="115"/>
      <c r="M287" s="120"/>
      <c r="P287" s="121"/>
      <c r="R287" s="121"/>
      <c r="T287" s="122"/>
      <c r="AR287" s="116"/>
      <c r="AT287" s="123"/>
      <c r="AU287" s="123"/>
      <c r="AY287" s="116"/>
      <c r="BK287" s="124"/>
    </row>
    <row r="288" spans="2:63" s="11" customFormat="1" ht="15" customHeight="1" x14ac:dyDescent="0.2">
      <c r="B288" s="115"/>
      <c r="C288" s="127"/>
      <c r="D288" s="127" t="s">
        <v>108</v>
      </c>
      <c r="E288" s="128" t="s">
        <v>356</v>
      </c>
      <c r="F288" s="129" t="s">
        <v>441</v>
      </c>
      <c r="G288" s="130" t="s">
        <v>395</v>
      </c>
      <c r="H288" s="131">
        <v>1</v>
      </c>
      <c r="I288" s="132"/>
      <c r="J288" s="133">
        <f t="shared" si="26"/>
        <v>0</v>
      </c>
      <c r="K288" s="129"/>
      <c r="L288" s="115"/>
      <c r="M288" s="120"/>
      <c r="P288" s="121"/>
      <c r="R288" s="121"/>
      <c r="T288" s="122"/>
      <c r="AR288" s="116"/>
      <c r="AT288" s="123"/>
      <c r="AU288" s="123"/>
      <c r="AY288" s="116"/>
      <c r="BK288" s="124"/>
    </row>
    <row r="289" spans="2:63" s="11" customFormat="1" ht="15" customHeight="1" x14ac:dyDescent="0.2">
      <c r="B289" s="115"/>
      <c r="C289" s="165"/>
      <c r="D289" s="165" t="s">
        <v>120</v>
      </c>
      <c r="E289" s="166" t="s">
        <v>426</v>
      </c>
      <c r="F289" s="167" t="s">
        <v>482</v>
      </c>
      <c r="G289" s="168" t="s">
        <v>395</v>
      </c>
      <c r="H289" s="169">
        <v>1</v>
      </c>
      <c r="I289" s="170"/>
      <c r="J289" s="171">
        <f t="shared" si="26"/>
        <v>0</v>
      </c>
      <c r="K289" s="167" t="s">
        <v>18</v>
      </c>
      <c r="L289" s="115"/>
      <c r="M289" s="120"/>
      <c r="P289" s="121"/>
      <c r="R289" s="121"/>
      <c r="T289" s="122"/>
      <c r="AR289" s="116"/>
      <c r="AT289" s="123"/>
      <c r="AU289" s="123"/>
      <c r="AY289" s="116"/>
      <c r="BK289" s="124"/>
    </row>
    <row r="290" spans="2:63" s="11" customFormat="1" ht="15" customHeight="1" x14ac:dyDescent="0.2">
      <c r="B290" s="115"/>
      <c r="C290" s="127"/>
      <c r="D290" s="127" t="s">
        <v>108</v>
      </c>
      <c r="E290" s="128" t="s">
        <v>357</v>
      </c>
      <c r="F290" s="129" t="s">
        <v>441</v>
      </c>
      <c r="G290" s="130" t="s">
        <v>395</v>
      </c>
      <c r="H290" s="131">
        <v>1</v>
      </c>
      <c r="I290" s="132"/>
      <c r="J290" s="133">
        <f t="shared" si="26"/>
        <v>0</v>
      </c>
      <c r="K290" s="129"/>
      <c r="L290" s="115"/>
      <c r="M290" s="120"/>
      <c r="P290" s="121"/>
      <c r="R290" s="121"/>
      <c r="T290" s="122"/>
      <c r="AR290" s="116"/>
      <c r="AT290" s="123"/>
      <c r="AU290" s="123"/>
      <c r="AY290" s="116"/>
      <c r="BK290" s="124"/>
    </row>
    <row r="291" spans="2:63" s="11" customFormat="1" ht="15" customHeight="1" x14ac:dyDescent="0.2">
      <c r="B291" s="115"/>
      <c r="C291" s="165"/>
      <c r="D291" s="165" t="s">
        <v>120</v>
      </c>
      <c r="E291" s="166" t="s">
        <v>426</v>
      </c>
      <c r="F291" s="167" t="s">
        <v>483</v>
      </c>
      <c r="G291" s="168"/>
      <c r="H291" s="169"/>
      <c r="I291" s="170"/>
      <c r="J291" s="171"/>
      <c r="K291" s="167" t="s">
        <v>18</v>
      </c>
      <c r="L291" s="115"/>
      <c r="M291" s="120"/>
      <c r="P291" s="121"/>
      <c r="R291" s="121"/>
      <c r="T291" s="122"/>
      <c r="AR291" s="116"/>
      <c r="AT291" s="123"/>
      <c r="AU291" s="123"/>
      <c r="AY291" s="116"/>
      <c r="BK291" s="124"/>
    </row>
    <row r="292" spans="2:63" s="11" customFormat="1" ht="15" customHeight="1" x14ac:dyDescent="0.2">
      <c r="B292" s="115"/>
      <c r="C292" s="127"/>
      <c r="D292" s="127" t="s">
        <v>108</v>
      </c>
      <c r="E292" s="128" t="s">
        <v>358</v>
      </c>
      <c r="F292" s="129" t="s">
        <v>484</v>
      </c>
      <c r="G292" s="130" t="s">
        <v>135</v>
      </c>
      <c r="H292" s="131">
        <v>1</v>
      </c>
      <c r="I292" s="132"/>
      <c r="J292" s="133">
        <f t="shared" si="26"/>
        <v>0</v>
      </c>
      <c r="K292" s="129"/>
      <c r="L292" s="115"/>
      <c r="M292" s="120"/>
      <c r="P292" s="121"/>
      <c r="R292" s="121"/>
      <c r="T292" s="122"/>
      <c r="AR292" s="116"/>
      <c r="AT292" s="123"/>
      <c r="AU292" s="123"/>
      <c r="AY292" s="116"/>
      <c r="BK292" s="124"/>
    </row>
    <row r="293" spans="2:63" s="11" customFormat="1" ht="15" customHeight="1" x14ac:dyDescent="0.2">
      <c r="B293" s="115"/>
      <c r="C293" s="165"/>
      <c r="D293" s="165" t="s">
        <v>120</v>
      </c>
      <c r="E293" s="166" t="s">
        <v>426</v>
      </c>
      <c r="F293" s="167" t="s">
        <v>485</v>
      </c>
      <c r="G293" s="168" t="s">
        <v>395</v>
      </c>
      <c r="H293" s="169">
        <v>1</v>
      </c>
      <c r="I293" s="170"/>
      <c r="J293" s="171">
        <f t="shared" si="26"/>
        <v>0</v>
      </c>
      <c r="K293" s="167"/>
      <c r="L293" s="115"/>
      <c r="M293" s="120"/>
      <c r="P293" s="121"/>
      <c r="R293" s="121"/>
      <c r="T293" s="122"/>
      <c r="AR293" s="116"/>
      <c r="AT293" s="123"/>
      <c r="AU293" s="123"/>
      <c r="AY293" s="116"/>
      <c r="BK293" s="124"/>
    </row>
    <row r="294" spans="2:63" s="11" customFormat="1" ht="15" customHeight="1" x14ac:dyDescent="0.2">
      <c r="B294" s="115"/>
      <c r="C294" s="127"/>
      <c r="D294" s="127" t="s">
        <v>108</v>
      </c>
      <c r="E294" s="128" t="s">
        <v>388</v>
      </c>
      <c r="F294" s="129" t="s">
        <v>441</v>
      </c>
      <c r="G294" s="130" t="s">
        <v>395</v>
      </c>
      <c r="H294" s="131">
        <v>1</v>
      </c>
      <c r="I294" s="132"/>
      <c r="J294" s="133">
        <f t="shared" si="26"/>
        <v>0</v>
      </c>
      <c r="K294" s="129"/>
      <c r="L294" s="115"/>
      <c r="M294" s="120"/>
      <c r="P294" s="121"/>
      <c r="R294" s="121"/>
      <c r="T294" s="122"/>
      <c r="AR294" s="116"/>
      <c r="AT294" s="123"/>
      <c r="AU294" s="123"/>
      <c r="AY294" s="116"/>
      <c r="BK294" s="124"/>
    </row>
    <row r="295" spans="2:63" s="11" customFormat="1" ht="15" customHeight="1" x14ac:dyDescent="0.2">
      <c r="B295" s="115"/>
      <c r="C295" s="165"/>
      <c r="D295" s="165" t="s">
        <v>120</v>
      </c>
      <c r="E295" s="166" t="s">
        <v>426</v>
      </c>
      <c r="F295" s="167" t="s">
        <v>486</v>
      </c>
      <c r="G295" s="168" t="s">
        <v>395</v>
      </c>
      <c r="H295" s="169">
        <v>1</v>
      </c>
      <c r="I295" s="170"/>
      <c r="J295" s="171">
        <f t="shared" si="26"/>
        <v>0</v>
      </c>
      <c r="K295" s="167" t="s">
        <v>18</v>
      </c>
      <c r="L295" s="115"/>
      <c r="M295" s="120"/>
      <c r="P295" s="121"/>
      <c r="R295" s="121"/>
      <c r="T295" s="122"/>
      <c r="AR295" s="116"/>
      <c r="AT295" s="123"/>
      <c r="AU295" s="123"/>
      <c r="AY295" s="116"/>
      <c r="BK295" s="124"/>
    </row>
    <row r="296" spans="2:63" s="11" customFormat="1" ht="15" customHeight="1" x14ac:dyDescent="0.2">
      <c r="B296" s="115"/>
      <c r="C296" s="127"/>
      <c r="D296" s="127" t="s">
        <v>108</v>
      </c>
      <c r="E296" s="128" t="s">
        <v>389</v>
      </c>
      <c r="F296" s="129" t="s">
        <v>441</v>
      </c>
      <c r="G296" s="130" t="s">
        <v>395</v>
      </c>
      <c r="H296" s="131">
        <v>1</v>
      </c>
      <c r="I296" s="132"/>
      <c r="J296" s="133">
        <f t="shared" si="26"/>
        <v>0</v>
      </c>
      <c r="K296" s="129"/>
      <c r="L296" s="115"/>
      <c r="M296" s="120"/>
      <c r="P296" s="121"/>
      <c r="R296" s="121"/>
      <c r="T296" s="122"/>
      <c r="AR296" s="116"/>
      <c r="AT296" s="123"/>
      <c r="AU296" s="123"/>
      <c r="AY296" s="116"/>
      <c r="BK296" s="124"/>
    </row>
    <row r="297" spans="2:63" s="11" customFormat="1" ht="15" customHeight="1" x14ac:dyDescent="0.2">
      <c r="B297" s="115"/>
      <c r="C297" s="165"/>
      <c r="D297" s="165" t="s">
        <v>120</v>
      </c>
      <c r="E297" s="166" t="s">
        <v>426</v>
      </c>
      <c r="F297" s="167" t="s">
        <v>487</v>
      </c>
      <c r="G297" s="168" t="s">
        <v>395</v>
      </c>
      <c r="H297" s="169">
        <v>1</v>
      </c>
      <c r="I297" s="170"/>
      <c r="J297" s="171">
        <f t="shared" si="26"/>
        <v>0</v>
      </c>
      <c r="K297" s="167" t="s">
        <v>18</v>
      </c>
      <c r="L297" s="115"/>
      <c r="M297" s="120"/>
      <c r="P297" s="121"/>
      <c r="R297" s="121"/>
      <c r="T297" s="122"/>
      <c r="AR297" s="116"/>
      <c r="AT297" s="123"/>
      <c r="AU297" s="123"/>
      <c r="AY297" s="116"/>
      <c r="BK297" s="124"/>
    </row>
    <row r="298" spans="2:63" s="11" customFormat="1" ht="15" customHeight="1" x14ac:dyDescent="0.2">
      <c r="B298" s="115"/>
      <c r="C298" s="127"/>
      <c r="D298" s="127" t="s">
        <v>108</v>
      </c>
      <c r="E298" s="128" t="s">
        <v>390</v>
      </c>
      <c r="F298" s="129" t="s">
        <v>441</v>
      </c>
      <c r="G298" s="130" t="s">
        <v>395</v>
      </c>
      <c r="H298" s="131">
        <v>1</v>
      </c>
      <c r="I298" s="132"/>
      <c r="J298" s="133">
        <f t="shared" si="26"/>
        <v>0</v>
      </c>
      <c r="K298" s="129"/>
      <c r="L298" s="115"/>
      <c r="M298" s="120"/>
      <c r="P298" s="121"/>
      <c r="R298" s="121"/>
      <c r="T298" s="122"/>
      <c r="AR298" s="116"/>
      <c r="AT298" s="123"/>
      <c r="AU298" s="123"/>
      <c r="AY298" s="116"/>
      <c r="BK298" s="124"/>
    </row>
    <row r="299" spans="2:63" s="11" customFormat="1" ht="15" customHeight="1" x14ac:dyDescent="0.2">
      <c r="B299" s="115"/>
      <c r="C299" s="165"/>
      <c r="D299" s="165" t="s">
        <v>120</v>
      </c>
      <c r="E299" s="166" t="s">
        <v>426</v>
      </c>
      <c r="F299" s="167" t="s">
        <v>488</v>
      </c>
      <c r="G299" s="168" t="s">
        <v>395</v>
      </c>
      <c r="H299" s="169">
        <v>1</v>
      </c>
      <c r="I299" s="170"/>
      <c r="J299" s="171">
        <f t="shared" si="26"/>
        <v>0</v>
      </c>
      <c r="K299" s="167" t="s">
        <v>18</v>
      </c>
      <c r="L299" s="115"/>
      <c r="M299" s="120"/>
      <c r="P299" s="121"/>
      <c r="R299" s="121"/>
      <c r="T299" s="122"/>
      <c r="AR299" s="116"/>
      <c r="AT299" s="123"/>
      <c r="AU299" s="123"/>
      <c r="AY299" s="116"/>
      <c r="BK299" s="124"/>
    </row>
    <row r="300" spans="2:63" s="11" customFormat="1" ht="15" customHeight="1" x14ac:dyDescent="0.2">
      <c r="B300" s="115"/>
      <c r="C300" s="127"/>
      <c r="D300" s="127" t="s">
        <v>108</v>
      </c>
      <c r="E300" s="128" t="s">
        <v>391</v>
      </c>
      <c r="F300" s="129" t="s">
        <v>441</v>
      </c>
      <c r="G300" s="130" t="s">
        <v>395</v>
      </c>
      <c r="H300" s="131">
        <v>1</v>
      </c>
      <c r="I300" s="132"/>
      <c r="J300" s="133">
        <f t="shared" si="26"/>
        <v>0</v>
      </c>
      <c r="K300" s="129"/>
      <c r="L300" s="115"/>
      <c r="M300" s="120"/>
      <c r="P300" s="121"/>
      <c r="R300" s="121"/>
      <c r="T300" s="122"/>
      <c r="AR300" s="116"/>
      <c r="AT300" s="123"/>
      <c r="AU300" s="123"/>
      <c r="AY300" s="116"/>
      <c r="BK300" s="124"/>
    </row>
    <row r="301" spans="2:63" s="11" customFormat="1" ht="15" customHeight="1" x14ac:dyDescent="0.2">
      <c r="B301" s="115"/>
      <c r="C301" s="165"/>
      <c r="D301" s="165" t="s">
        <v>120</v>
      </c>
      <c r="E301" s="166" t="s">
        <v>426</v>
      </c>
      <c r="F301" s="167" t="s">
        <v>489</v>
      </c>
      <c r="G301" s="168" t="s">
        <v>395</v>
      </c>
      <c r="H301" s="169">
        <v>1</v>
      </c>
      <c r="I301" s="170"/>
      <c r="J301" s="171">
        <f t="shared" si="26"/>
        <v>0</v>
      </c>
      <c r="K301" s="167"/>
      <c r="L301" s="115"/>
      <c r="M301" s="120"/>
      <c r="P301" s="121"/>
      <c r="R301" s="121"/>
      <c r="T301" s="122"/>
      <c r="AR301" s="116"/>
      <c r="AT301" s="123"/>
      <c r="AU301" s="123"/>
      <c r="AY301" s="116"/>
      <c r="BK301" s="124"/>
    </row>
    <row r="302" spans="2:63" s="11" customFormat="1" ht="15" customHeight="1" x14ac:dyDescent="0.2">
      <c r="B302" s="115"/>
      <c r="C302" s="127"/>
      <c r="D302" s="127" t="s">
        <v>108</v>
      </c>
      <c r="E302" s="128" t="s">
        <v>392</v>
      </c>
      <c r="F302" s="129" t="s">
        <v>441</v>
      </c>
      <c r="G302" s="130" t="s">
        <v>395</v>
      </c>
      <c r="H302" s="131">
        <v>1</v>
      </c>
      <c r="I302" s="132"/>
      <c r="J302" s="133">
        <f t="shared" si="26"/>
        <v>0</v>
      </c>
      <c r="K302" s="129"/>
      <c r="L302" s="115"/>
      <c r="M302" s="120"/>
      <c r="P302" s="121"/>
      <c r="R302" s="121"/>
      <c r="T302" s="122"/>
      <c r="AR302" s="116"/>
      <c r="AT302" s="123"/>
      <c r="AU302" s="123"/>
      <c r="AY302" s="116"/>
      <c r="BK302" s="124"/>
    </row>
    <row r="303" spans="2:63" s="11" customFormat="1" ht="15" customHeight="1" x14ac:dyDescent="0.2">
      <c r="B303" s="115"/>
      <c r="C303" s="165"/>
      <c r="D303" s="165" t="s">
        <v>120</v>
      </c>
      <c r="E303" s="166" t="s">
        <v>426</v>
      </c>
      <c r="F303" s="167" t="s">
        <v>490</v>
      </c>
      <c r="G303" s="168" t="s">
        <v>395</v>
      </c>
      <c r="H303" s="169">
        <v>1</v>
      </c>
      <c r="I303" s="170"/>
      <c r="J303" s="171">
        <f t="shared" si="26"/>
        <v>0</v>
      </c>
      <c r="K303" s="167" t="s">
        <v>18</v>
      </c>
      <c r="L303" s="115"/>
      <c r="M303" s="120"/>
      <c r="P303" s="121"/>
      <c r="R303" s="121"/>
      <c r="T303" s="122"/>
      <c r="AR303" s="116"/>
      <c r="AT303" s="123"/>
      <c r="AU303" s="123"/>
      <c r="AY303" s="116"/>
      <c r="BK303" s="124"/>
    </row>
    <row r="304" spans="2:63" s="11" customFormat="1" ht="15" customHeight="1" x14ac:dyDescent="0.2">
      <c r="B304" s="115"/>
      <c r="C304" s="127"/>
      <c r="D304" s="127" t="s">
        <v>108</v>
      </c>
      <c r="E304" s="128" t="s">
        <v>393</v>
      </c>
      <c r="F304" s="129" t="s">
        <v>441</v>
      </c>
      <c r="G304" s="130" t="s">
        <v>395</v>
      </c>
      <c r="H304" s="131">
        <v>1</v>
      </c>
      <c r="I304" s="132"/>
      <c r="J304" s="133">
        <f t="shared" si="26"/>
        <v>0</v>
      </c>
      <c r="K304" s="129"/>
      <c r="L304" s="115"/>
      <c r="M304" s="120"/>
      <c r="P304" s="121"/>
      <c r="R304" s="121"/>
      <c r="T304" s="122"/>
      <c r="AR304" s="116"/>
      <c r="AT304" s="123"/>
      <c r="AU304" s="123"/>
      <c r="AY304" s="116"/>
      <c r="BK304" s="124"/>
    </row>
    <row r="305" spans="2:65" s="11" customFormat="1" ht="15" customHeight="1" x14ac:dyDescent="0.2">
      <c r="B305" s="115"/>
      <c r="C305" s="127"/>
      <c r="D305" s="165" t="s">
        <v>120</v>
      </c>
      <c r="E305" s="166" t="s">
        <v>426</v>
      </c>
      <c r="F305" s="167" t="s">
        <v>491</v>
      </c>
      <c r="G305" s="168" t="s">
        <v>395</v>
      </c>
      <c r="H305" s="169">
        <v>1</v>
      </c>
      <c r="I305" s="170"/>
      <c r="J305" s="171">
        <f>ROUND(I305*H305,2)</f>
        <v>0</v>
      </c>
      <c r="K305" s="167" t="s">
        <v>18</v>
      </c>
      <c r="L305" s="115"/>
      <c r="M305" s="120"/>
      <c r="P305" s="121"/>
      <c r="R305" s="121"/>
      <c r="T305" s="122"/>
      <c r="AR305" s="116"/>
      <c r="AT305" s="123"/>
      <c r="AU305" s="123"/>
      <c r="AY305" s="116"/>
      <c r="BK305" s="124"/>
    </row>
    <row r="306" spans="2:65" s="11" customFormat="1" ht="15" customHeight="1" x14ac:dyDescent="0.2">
      <c r="B306" s="115"/>
      <c r="C306" s="127"/>
      <c r="D306" s="127" t="s">
        <v>108</v>
      </c>
      <c r="E306" s="128" t="s">
        <v>468</v>
      </c>
      <c r="F306" s="129" t="s">
        <v>472</v>
      </c>
      <c r="G306" s="130" t="s">
        <v>395</v>
      </c>
      <c r="H306" s="131">
        <v>1</v>
      </c>
      <c r="I306" s="132"/>
      <c r="J306" s="133">
        <f>ROUND(I306*H306,2)</f>
        <v>0</v>
      </c>
      <c r="K306" s="129"/>
      <c r="L306" s="115"/>
      <c r="M306" s="120"/>
      <c r="P306" s="121"/>
      <c r="R306" s="121"/>
      <c r="T306" s="122"/>
      <c r="AR306" s="116"/>
      <c r="AT306" s="123"/>
      <c r="AU306" s="123"/>
      <c r="AY306" s="116"/>
      <c r="BK306" s="124"/>
    </row>
    <row r="307" spans="2:65" s="11" customFormat="1" ht="15" customHeight="1" x14ac:dyDescent="0.2">
      <c r="B307" s="115"/>
      <c r="C307" s="127"/>
      <c r="D307" s="165" t="s">
        <v>120</v>
      </c>
      <c r="E307" s="166" t="s">
        <v>426</v>
      </c>
      <c r="F307" s="167" t="s">
        <v>492</v>
      </c>
      <c r="G307" s="168" t="s">
        <v>395</v>
      </c>
      <c r="H307" s="169">
        <v>8</v>
      </c>
      <c r="I307" s="170"/>
      <c r="J307" s="171">
        <f t="shared" ref="J307:J308" si="27">ROUND(I307*H307,2)</f>
        <v>0</v>
      </c>
      <c r="K307" s="167" t="s">
        <v>18</v>
      </c>
      <c r="L307" s="115"/>
      <c r="M307" s="120"/>
      <c r="P307" s="121"/>
      <c r="R307" s="121"/>
      <c r="T307" s="122"/>
      <c r="AR307" s="116"/>
      <c r="AT307" s="123"/>
      <c r="AU307" s="123"/>
      <c r="AY307" s="116"/>
      <c r="BK307" s="124"/>
    </row>
    <row r="308" spans="2:65" s="11" customFormat="1" ht="15" customHeight="1" x14ac:dyDescent="0.2">
      <c r="B308" s="115"/>
      <c r="C308" s="127"/>
      <c r="D308" s="127" t="s">
        <v>108</v>
      </c>
      <c r="E308" s="128" t="s">
        <v>469</v>
      </c>
      <c r="F308" s="129" t="s">
        <v>472</v>
      </c>
      <c r="G308" s="130" t="s">
        <v>395</v>
      </c>
      <c r="H308" s="131">
        <v>8</v>
      </c>
      <c r="I308" s="132"/>
      <c r="J308" s="133">
        <f t="shared" si="27"/>
        <v>0</v>
      </c>
      <c r="K308" s="129"/>
      <c r="L308" s="115"/>
      <c r="M308" s="120"/>
      <c r="P308" s="121"/>
      <c r="R308" s="121"/>
      <c r="T308" s="122"/>
      <c r="AR308" s="116"/>
      <c r="AT308" s="123"/>
      <c r="AU308" s="123"/>
      <c r="AY308" s="116"/>
      <c r="BK308" s="124"/>
    </row>
    <row r="309" spans="2:65" s="11" customFormat="1" ht="15" customHeight="1" x14ac:dyDescent="0.2">
      <c r="B309" s="115"/>
      <c r="C309" s="127"/>
      <c r="D309" s="165" t="s">
        <v>120</v>
      </c>
      <c r="E309" s="166" t="s">
        <v>426</v>
      </c>
      <c r="F309" s="167" t="s">
        <v>493</v>
      </c>
      <c r="G309" s="168" t="s">
        <v>395</v>
      </c>
      <c r="H309" s="169">
        <v>1</v>
      </c>
      <c r="I309" s="170"/>
      <c r="J309" s="171">
        <f t="shared" ref="J309:J316" si="28">ROUND(I309*H309,2)</f>
        <v>0</v>
      </c>
      <c r="K309" s="167"/>
      <c r="L309" s="115"/>
      <c r="M309" s="120"/>
      <c r="P309" s="121"/>
      <c r="R309" s="121"/>
      <c r="T309" s="122"/>
      <c r="AR309" s="116"/>
      <c r="AT309" s="123"/>
      <c r="AU309" s="123"/>
      <c r="AY309" s="116"/>
      <c r="BK309" s="124"/>
    </row>
    <row r="310" spans="2:65" s="1" customFormat="1" ht="16.5" customHeight="1" x14ac:dyDescent="0.2">
      <c r="B310" s="32"/>
      <c r="C310" s="127"/>
      <c r="D310" s="127" t="s">
        <v>108</v>
      </c>
      <c r="E310" s="128" t="s">
        <v>470</v>
      </c>
      <c r="F310" s="129" t="s">
        <v>472</v>
      </c>
      <c r="G310" s="130" t="s">
        <v>395</v>
      </c>
      <c r="H310" s="131">
        <v>1</v>
      </c>
      <c r="I310" s="132"/>
      <c r="J310" s="133">
        <f t="shared" si="28"/>
        <v>0</v>
      </c>
      <c r="K310" s="129"/>
      <c r="L310" s="32"/>
      <c r="M310" s="134" t="s">
        <v>18</v>
      </c>
      <c r="N310" s="135" t="s">
        <v>38</v>
      </c>
      <c r="P310" s="136">
        <f t="shared" ref="P310:P311" si="29">O310*H310</f>
        <v>0</v>
      </c>
      <c r="Q310" s="136">
        <v>0</v>
      </c>
      <c r="R310" s="136">
        <f t="shared" ref="R310:R311" si="30">Q310*H310</f>
        <v>0</v>
      </c>
      <c r="S310" s="136">
        <v>0</v>
      </c>
      <c r="T310" s="137">
        <f t="shared" ref="T310:T311" si="31">S310*H310</f>
        <v>0</v>
      </c>
      <c r="AR310" s="138" t="s">
        <v>110</v>
      </c>
      <c r="AT310" s="138" t="s">
        <v>108</v>
      </c>
      <c r="AU310" s="138" t="s">
        <v>77</v>
      </c>
      <c r="AY310" s="17" t="s">
        <v>106</v>
      </c>
      <c r="BE310" s="139">
        <f t="shared" ref="BE310:BE311" si="32">IF(N310="základní",J310,0)</f>
        <v>0</v>
      </c>
      <c r="BF310" s="139">
        <f t="shared" ref="BF310:BF311" si="33">IF(N310="snížená",J310,0)</f>
        <v>0</v>
      </c>
      <c r="BG310" s="139">
        <f t="shared" ref="BG310:BG311" si="34">IF(N310="zákl. přenesená",J310,0)</f>
        <v>0</v>
      </c>
      <c r="BH310" s="139">
        <f t="shared" ref="BH310:BH311" si="35">IF(N310="sníž. přenesená",J310,0)</f>
        <v>0</v>
      </c>
      <c r="BI310" s="139">
        <f t="shared" ref="BI310:BI311" si="36">IF(N310="nulová",J310,0)</f>
        <v>0</v>
      </c>
      <c r="BJ310" s="17" t="s">
        <v>75</v>
      </c>
      <c r="BK310" s="139">
        <f t="shared" ref="BK310:BK311" si="37">ROUND(I310*H310,2)</f>
        <v>0</v>
      </c>
      <c r="BL310" s="17" t="s">
        <v>110</v>
      </c>
      <c r="BM310" s="138" t="s">
        <v>138</v>
      </c>
    </row>
    <row r="311" spans="2:65" s="1" customFormat="1" ht="16.5" customHeight="1" x14ac:dyDescent="0.2">
      <c r="B311" s="32"/>
      <c r="C311" s="127"/>
      <c r="D311" s="165" t="s">
        <v>120</v>
      </c>
      <c r="E311" s="166" t="s">
        <v>426</v>
      </c>
      <c r="F311" s="167" t="s">
        <v>494</v>
      </c>
      <c r="G311" s="168" t="s">
        <v>395</v>
      </c>
      <c r="H311" s="169">
        <v>1</v>
      </c>
      <c r="I311" s="170"/>
      <c r="J311" s="171">
        <f t="shared" si="28"/>
        <v>0</v>
      </c>
      <c r="K311" s="167" t="s">
        <v>18</v>
      </c>
      <c r="L311" s="32"/>
      <c r="M311" s="134" t="s">
        <v>18</v>
      </c>
      <c r="N311" s="135" t="s">
        <v>38</v>
      </c>
      <c r="P311" s="136">
        <f t="shared" si="29"/>
        <v>0</v>
      </c>
      <c r="Q311" s="136">
        <v>0</v>
      </c>
      <c r="R311" s="136">
        <f t="shared" si="30"/>
        <v>0</v>
      </c>
      <c r="S311" s="136">
        <v>0</v>
      </c>
      <c r="T311" s="137">
        <f t="shared" si="31"/>
        <v>0</v>
      </c>
      <c r="AR311" s="138" t="s">
        <v>110</v>
      </c>
      <c r="AT311" s="138" t="s">
        <v>108</v>
      </c>
      <c r="AU311" s="138" t="s">
        <v>77</v>
      </c>
      <c r="AY311" s="17" t="s">
        <v>106</v>
      </c>
      <c r="BE311" s="139">
        <f t="shared" si="32"/>
        <v>0</v>
      </c>
      <c r="BF311" s="139">
        <f t="shared" si="33"/>
        <v>0</v>
      </c>
      <c r="BG311" s="139">
        <f t="shared" si="34"/>
        <v>0</v>
      </c>
      <c r="BH311" s="139">
        <f t="shared" si="35"/>
        <v>0</v>
      </c>
      <c r="BI311" s="139">
        <f t="shared" si="36"/>
        <v>0</v>
      </c>
      <c r="BJ311" s="17" t="s">
        <v>75</v>
      </c>
      <c r="BK311" s="139">
        <f t="shared" si="37"/>
        <v>0</v>
      </c>
      <c r="BL311" s="17" t="s">
        <v>110</v>
      </c>
      <c r="BM311" s="138" t="s">
        <v>139</v>
      </c>
    </row>
    <row r="312" spans="2:65" s="1" customFormat="1" ht="16.5" customHeight="1" x14ac:dyDescent="0.2">
      <c r="B312" s="32"/>
      <c r="C312" s="127"/>
      <c r="D312" s="127" t="s">
        <v>108</v>
      </c>
      <c r="E312" s="128" t="s">
        <v>471</v>
      </c>
      <c r="F312" s="129" t="s">
        <v>472</v>
      </c>
      <c r="G312" s="130" t="s">
        <v>395</v>
      </c>
      <c r="H312" s="131">
        <v>1</v>
      </c>
      <c r="I312" s="132"/>
      <c r="J312" s="133">
        <f t="shared" si="28"/>
        <v>0</v>
      </c>
      <c r="K312" s="129"/>
      <c r="L312" s="32"/>
      <c r="M312" s="134"/>
      <c r="N312" s="135"/>
      <c r="P312" s="136"/>
      <c r="Q312" s="136"/>
      <c r="R312" s="136"/>
      <c r="S312" s="136"/>
      <c r="T312" s="137"/>
      <c r="AR312" s="138"/>
      <c r="AT312" s="138"/>
      <c r="AU312" s="138"/>
      <c r="AY312" s="17"/>
      <c r="BE312" s="139"/>
      <c r="BF312" s="139"/>
      <c r="BG312" s="139"/>
      <c r="BH312" s="139"/>
      <c r="BI312" s="139"/>
      <c r="BJ312" s="17"/>
      <c r="BK312" s="139"/>
      <c r="BL312" s="17"/>
      <c r="BM312" s="138"/>
    </row>
    <row r="313" spans="2:65" s="1" customFormat="1" ht="16.5" customHeight="1" x14ac:dyDescent="0.2">
      <c r="B313" s="32"/>
      <c r="C313" s="127"/>
      <c r="D313" s="165" t="s">
        <v>120</v>
      </c>
      <c r="E313" s="166" t="s">
        <v>426</v>
      </c>
      <c r="F313" s="167" t="s">
        <v>495</v>
      </c>
      <c r="G313" s="168" t="s">
        <v>395</v>
      </c>
      <c r="H313" s="169">
        <v>3</v>
      </c>
      <c r="I313" s="170"/>
      <c r="J313" s="171">
        <f t="shared" si="28"/>
        <v>0</v>
      </c>
      <c r="K313" s="167" t="s">
        <v>18</v>
      </c>
      <c r="L313" s="32"/>
      <c r="M313" s="134"/>
      <c r="N313" s="135"/>
      <c r="P313" s="136"/>
      <c r="Q313" s="136"/>
      <c r="R313" s="136"/>
      <c r="S313" s="136"/>
      <c r="T313" s="137"/>
      <c r="AR313" s="138"/>
      <c r="AT313" s="138"/>
      <c r="AU313" s="138"/>
      <c r="AY313" s="17"/>
      <c r="BE313" s="139"/>
      <c r="BF313" s="139"/>
      <c r="BG313" s="139"/>
      <c r="BH313" s="139"/>
      <c r="BI313" s="139"/>
      <c r="BJ313" s="17"/>
      <c r="BK313" s="139"/>
      <c r="BL313" s="17"/>
      <c r="BM313" s="138"/>
    </row>
    <row r="314" spans="2:65" s="1" customFormat="1" ht="16.5" customHeight="1" x14ac:dyDescent="0.2">
      <c r="B314" s="32"/>
      <c r="C314" s="127"/>
      <c r="D314" s="127" t="s">
        <v>108</v>
      </c>
      <c r="E314" s="128" t="s">
        <v>473</v>
      </c>
      <c r="F314" s="129" t="s">
        <v>472</v>
      </c>
      <c r="G314" s="130" t="s">
        <v>395</v>
      </c>
      <c r="H314" s="131">
        <v>3</v>
      </c>
      <c r="I314" s="132"/>
      <c r="J314" s="133">
        <f t="shared" si="28"/>
        <v>0</v>
      </c>
      <c r="K314" s="129"/>
      <c r="L314" s="32"/>
      <c r="M314" s="134"/>
      <c r="N314" s="135"/>
      <c r="P314" s="136"/>
      <c r="Q314" s="136"/>
      <c r="R314" s="136"/>
      <c r="S314" s="136"/>
      <c r="T314" s="137"/>
      <c r="AR314" s="138"/>
      <c r="AT314" s="138"/>
      <c r="AU314" s="138"/>
      <c r="AY314" s="17"/>
      <c r="BE314" s="139"/>
      <c r="BF314" s="139"/>
      <c r="BG314" s="139"/>
      <c r="BH314" s="139"/>
      <c r="BI314" s="139"/>
      <c r="BJ314" s="17"/>
      <c r="BK314" s="139"/>
      <c r="BL314" s="17"/>
      <c r="BM314" s="138"/>
    </row>
    <row r="315" spans="2:65" s="1" customFormat="1" ht="16.5" customHeight="1" x14ac:dyDescent="0.2">
      <c r="B315" s="32"/>
      <c r="C315" s="127"/>
      <c r="D315" s="165" t="s">
        <v>120</v>
      </c>
      <c r="E315" s="166" t="s">
        <v>426</v>
      </c>
      <c r="F315" s="167" t="s">
        <v>496</v>
      </c>
      <c r="G315" s="168" t="s">
        <v>395</v>
      </c>
      <c r="H315" s="169">
        <v>1</v>
      </c>
      <c r="I315" s="170"/>
      <c r="J315" s="171">
        <f t="shared" si="28"/>
        <v>0</v>
      </c>
      <c r="K315" s="167" t="s">
        <v>18</v>
      </c>
      <c r="L315" s="32"/>
      <c r="M315" s="134"/>
      <c r="N315" s="135"/>
      <c r="P315" s="136"/>
      <c r="Q315" s="136"/>
      <c r="R315" s="136"/>
      <c r="S315" s="136"/>
      <c r="T315" s="137"/>
      <c r="AR315" s="138"/>
      <c r="AT315" s="138"/>
      <c r="AU315" s="138"/>
      <c r="AY315" s="17"/>
      <c r="BE315" s="139"/>
      <c r="BF315" s="139"/>
      <c r="BG315" s="139"/>
      <c r="BH315" s="139"/>
      <c r="BI315" s="139"/>
      <c r="BJ315" s="17"/>
      <c r="BK315" s="139"/>
      <c r="BL315" s="17"/>
      <c r="BM315" s="138"/>
    </row>
    <row r="316" spans="2:65" s="1" customFormat="1" ht="16.5" customHeight="1" x14ac:dyDescent="0.2">
      <c r="B316" s="32"/>
      <c r="C316" s="127"/>
      <c r="D316" s="127" t="s">
        <v>108</v>
      </c>
      <c r="E316" s="128" t="s">
        <v>474</v>
      </c>
      <c r="F316" s="129" t="s">
        <v>479</v>
      </c>
      <c r="G316" s="130" t="s">
        <v>395</v>
      </c>
      <c r="H316" s="131">
        <v>1</v>
      </c>
      <c r="I316" s="132"/>
      <c r="J316" s="133">
        <f t="shared" si="28"/>
        <v>0</v>
      </c>
      <c r="K316" s="129"/>
      <c r="L316" s="32"/>
      <c r="M316" s="134"/>
      <c r="N316" s="135"/>
      <c r="P316" s="136"/>
      <c r="Q316" s="136"/>
      <c r="R316" s="136"/>
      <c r="S316" s="136"/>
      <c r="T316" s="137"/>
      <c r="AR316" s="138"/>
      <c r="AT316" s="138"/>
      <c r="AU316" s="138"/>
      <c r="AY316" s="17"/>
      <c r="BE316" s="139"/>
      <c r="BF316" s="139"/>
      <c r="BG316" s="139"/>
      <c r="BH316" s="139"/>
      <c r="BI316" s="139"/>
      <c r="BJ316" s="17"/>
      <c r="BK316" s="139"/>
      <c r="BL316" s="17"/>
      <c r="BM316" s="138"/>
    </row>
    <row r="317" spans="2:65" s="1" customFormat="1" ht="16.5" customHeight="1" x14ac:dyDescent="0.2">
      <c r="B317" s="32"/>
      <c r="C317" s="127"/>
      <c r="D317" s="165" t="s">
        <v>120</v>
      </c>
      <c r="E317" s="166" t="s">
        <v>426</v>
      </c>
      <c r="F317" s="167" t="s">
        <v>498</v>
      </c>
      <c r="G317" s="168" t="s">
        <v>395</v>
      </c>
      <c r="H317" s="169">
        <v>2</v>
      </c>
      <c r="I317" s="170"/>
      <c r="J317" s="171">
        <f t="shared" ref="J317:J318" si="38">ROUND(I317*H317,2)</f>
        <v>0</v>
      </c>
      <c r="K317" s="167" t="s">
        <v>18</v>
      </c>
      <c r="L317" s="32"/>
      <c r="M317" s="134"/>
      <c r="N317" s="135"/>
      <c r="P317" s="136"/>
      <c r="Q317" s="136"/>
      <c r="R317" s="136"/>
      <c r="S317" s="136"/>
      <c r="T317" s="137"/>
      <c r="AR317" s="138"/>
      <c r="AT317" s="138"/>
      <c r="AU317" s="138"/>
      <c r="AY317" s="17"/>
      <c r="BE317" s="139"/>
      <c r="BF317" s="139"/>
      <c r="BG317" s="139"/>
      <c r="BH317" s="139"/>
      <c r="BI317" s="139"/>
      <c r="BJ317" s="17"/>
      <c r="BK317" s="139"/>
      <c r="BL317" s="17"/>
      <c r="BM317" s="138"/>
    </row>
    <row r="318" spans="2:65" s="1" customFormat="1" ht="16.5" customHeight="1" x14ac:dyDescent="0.2">
      <c r="B318" s="32"/>
      <c r="C318" s="127"/>
      <c r="D318" s="127" t="s">
        <v>108</v>
      </c>
      <c r="E318" s="128" t="s">
        <v>475</v>
      </c>
      <c r="F318" s="129" t="s">
        <v>497</v>
      </c>
      <c r="G318" s="130" t="s">
        <v>395</v>
      </c>
      <c r="H318" s="131">
        <v>2</v>
      </c>
      <c r="I318" s="132"/>
      <c r="J318" s="133">
        <f t="shared" si="38"/>
        <v>0</v>
      </c>
      <c r="K318" s="129"/>
      <c r="L318" s="32"/>
      <c r="M318" s="134"/>
      <c r="N318" s="135"/>
      <c r="P318" s="136"/>
      <c r="Q318" s="136"/>
      <c r="R318" s="136"/>
      <c r="S318" s="136"/>
      <c r="T318" s="137"/>
      <c r="AR318" s="138"/>
      <c r="AT318" s="138"/>
      <c r="AU318" s="138"/>
      <c r="AY318" s="17"/>
      <c r="BE318" s="139"/>
      <c r="BF318" s="139"/>
      <c r="BG318" s="139"/>
      <c r="BH318" s="139"/>
      <c r="BI318" s="139"/>
      <c r="BJ318" s="17"/>
      <c r="BK318" s="139"/>
      <c r="BL318" s="17"/>
      <c r="BM318" s="138"/>
    </row>
    <row r="319" spans="2:65" s="1" customFormat="1" ht="16.5" customHeight="1" x14ac:dyDescent="0.2">
      <c r="B319" s="32"/>
      <c r="C319" s="127"/>
      <c r="D319" s="165" t="s">
        <v>120</v>
      </c>
      <c r="E319" s="166" t="s">
        <v>426</v>
      </c>
      <c r="F319" s="167" t="s">
        <v>499</v>
      </c>
      <c r="G319" s="168" t="s">
        <v>395</v>
      </c>
      <c r="H319" s="169">
        <v>8</v>
      </c>
      <c r="I319" s="170"/>
      <c r="J319" s="171">
        <f t="shared" ref="J319:J324" si="39">ROUND(I319*H319,2)</f>
        <v>0</v>
      </c>
      <c r="K319" s="167"/>
      <c r="L319" s="32"/>
      <c r="M319" s="134"/>
      <c r="N319" s="135"/>
      <c r="P319" s="136"/>
      <c r="Q319" s="136"/>
      <c r="R319" s="136"/>
      <c r="S319" s="136"/>
      <c r="T319" s="137"/>
      <c r="AR319" s="138"/>
      <c r="AT319" s="138"/>
      <c r="AU319" s="138"/>
      <c r="AY319" s="17"/>
      <c r="BE319" s="139"/>
      <c r="BF319" s="139"/>
      <c r="BG319" s="139"/>
      <c r="BH319" s="139"/>
      <c r="BI319" s="139"/>
      <c r="BJ319" s="17"/>
      <c r="BK319" s="139"/>
      <c r="BL319" s="17"/>
      <c r="BM319" s="138"/>
    </row>
    <row r="320" spans="2:65" s="1" customFormat="1" ht="16.5" customHeight="1" x14ac:dyDescent="0.2">
      <c r="B320" s="32"/>
      <c r="C320" s="127"/>
      <c r="D320" s="127" t="s">
        <v>108</v>
      </c>
      <c r="E320" s="128" t="s">
        <v>476</v>
      </c>
      <c r="F320" s="129" t="s">
        <v>497</v>
      </c>
      <c r="G320" s="130" t="s">
        <v>395</v>
      </c>
      <c r="H320" s="131">
        <v>8</v>
      </c>
      <c r="I320" s="132"/>
      <c r="J320" s="133">
        <f t="shared" si="39"/>
        <v>0</v>
      </c>
      <c r="K320" s="129"/>
      <c r="L320" s="32"/>
      <c r="M320" s="134"/>
      <c r="N320" s="135"/>
      <c r="P320" s="136"/>
      <c r="Q320" s="136"/>
      <c r="R320" s="136"/>
      <c r="S320" s="136"/>
      <c r="T320" s="137"/>
      <c r="AR320" s="138"/>
      <c r="AT320" s="138"/>
      <c r="AU320" s="138"/>
      <c r="AY320" s="17"/>
      <c r="BE320" s="139"/>
      <c r="BF320" s="139"/>
      <c r="BG320" s="139"/>
      <c r="BH320" s="139"/>
      <c r="BI320" s="139"/>
      <c r="BJ320" s="17"/>
      <c r="BK320" s="139"/>
      <c r="BL320" s="17"/>
      <c r="BM320" s="138"/>
    </row>
    <row r="321" spans="2:65" s="1" customFormat="1" ht="16.5" customHeight="1" x14ac:dyDescent="0.2">
      <c r="B321" s="32"/>
      <c r="C321" s="127"/>
      <c r="D321" s="165" t="s">
        <v>120</v>
      </c>
      <c r="E321" s="166" t="s">
        <v>426</v>
      </c>
      <c r="F321" s="167" t="s">
        <v>500</v>
      </c>
      <c r="G321" s="168" t="s">
        <v>395</v>
      </c>
      <c r="H321" s="169">
        <v>5</v>
      </c>
      <c r="I321" s="170"/>
      <c r="J321" s="171">
        <f t="shared" si="39"/>
        <v>0</v>
      </c>
      <c r="K321" s="167" t="s">
        <v>18</v>
      </c>
      <c r="L321" s="32"/>
      <c r="M321" s="134"/>
      <c r="N321" s="135"/>
      <c r="P321" s="136"/>
      <c r="Q321" s="136"/>
      <c r="R321" s="136"/>
      <c r="S321" s="136"/>
      <c r="T321" s="137"/>
      <c r="AR321" s="138"/>
      <c r="AT321" s="138"/>
      <c r="AU321" s="138"/>
      <c r="AY321" s="17"/>
      <c r="BE321" s="139"/>
      <c r="BF321" s="139"/>
      <c r="BG321" s="139"/>
      <c r="BH321" s="139"/>
      <c r="BI321" s="139"/>
      <c r="BJ321" s="17"/>
      <c r="BK321" s="139"/>
      <c r="BL321" s="17"/>
      <c r="BM321" s="138"/>
    </row>
    <row r="322" spans="2:65" s="1" customFormat="1" ht="16.5" customHeight="1" x14ac:dyDescent="0.2">
      <c r="B322" s="32"/>
      <c r="C322" s="127"/>
      <c r="D322" s="127" t="s">
        <v>108</v>
      </c>
      <c r="E322" s="128" t="s">
        <v>477</v>
      </c>
      <c r="F322" s="129" t="s">
        <v>497</v>
      </c>
      <c r="G322" s="130" t="s">
        <v>395</v>
      </c>
      <c r="H322" s="131">
        <v>5</v>
      </c>
      <c r="I322" s="132"/>
      <c r="J322" s="133">
        <f t="shared" si="39"/>
        <v>0</v>
      </c>
      <c r="K322" s="129"/>
      <c r="L322" s="32"/>
      <c r="M322" s="134"/>
      <c r="N322" s="135"/>
      <c r="P322" s="136"/>
      <c r="Q322" s="136"/>
      <c r="R322" s="136"/>
      <c r="S322" s="136"/>
      <c r="T322" s="137"/>
      <c r="AR322" s="138"/>
      <c r="AT322" s="138"/>
      <c r="AU322" s="138"/>
      <c r="AY322" s="17"/>
      <c r="BE322" s="139"/>
      <c r="BF322" s="139"/>
      <c r="BG322" s="139"/>
      <c r="BH322" s="139"/>
      <c r="BI322" s="139"/>
      <c r="BJ322" s="17"/>
      <c r="BK322" s="139"/>
      <c r="BL322" s="17"/>
      <c r="BM322" s="138"/>
    </row>
    <row r="323" spans="2:65" s="1" customFormat="1" ht="16.5" customHeight="1" x14ac:dyDescent="0.2">
      <c r="B323" s="32"/>
      <c r="C323" s="127"/>
      <c r="D323" s="165" t="s">
        <v>120</v>
      </c>
      <c r="E323" s="166" t="s">
        <v>426</v>
      </c>
      <c r="F323" s="167" t="s">
        <v>501</v>
      </c>
      <c r="G323" s="168" t="s">
        <v>395</v>
      </c>
      <c r="H323" s="169">
        <v>1</v>
      </c>
      <c r="I323" s="170"/>
      <c r="J323" s="171">
        <f t="shared" si="39"/>
        <v>0</v>
      </c>
      <c r="K323" s="167" t="s">
        <v>18</v>
      </c>
      <c r="L323" s="32"/>
      <c r="M323" s="134"/>
      <c r="N323" s="135"/>
      <c r="P323" s="136"/>
      <c r="Q323" s="136"/>
      <c r="R323" s="136"/>
      <c r="S323" s="136"/>
      <c r="T323" s="137"/>
      <c r="AR323" s="138"/>
      <c r="AT323" s="138"/>
      <c r="AU323" s="138"/>
      <c r="AY323" s="17"/>
      <c r="BE323" s="139"/>
      <c r="BF323" s="139"/>
      <c r="BG323" s="139"/>
      <c r="BH323" s="139"/>
      <c r="BI323" s="139"/>
      <c r="BJ323" s="17"/>
      <c r="BK323" s="139"/>
      <c r="BL323" s="17"/>
      <c r="BM323" s="138"/>
    </row>
    <row r="324" spans="2:65" s="1" customFormat="1" ht="16.5" customHeight="1" x14ac:dyDescent="0.2">
      <c r="B324" s="32"/>
      <c r="C324" s="127"/>
      <c r="D324" s="127" t="s">
        <v>108</v>
      </c>
      <c r="E324" s="128" t="s">
        <v>478</v>
      </c>
      <c r="F324" s="129" t="s">
        <v>497</v>
      </c>
      <c r="G324" s="130" t="s">
        <v>395</v>
      </c>
      <c r="H324" s="131">
        <v>1</v>
      </c>
      <c r="I324" s="132"/>
      <c r="J324" s="133">
        <f t="shared" si="39"/>
        <v>0</v>
      </c>
      <c r="K324" s="129"/>
      <c r="L324" s="32"/>
      <c r="M324" s="134"/>
      <c r="N324" s="135"/>
      <c r="P324" s="136"/>
      <c r="Q324" s="136"/>
      <c r="R324" s="136"/>
      <c r="S324" s="136"/>
      <c r="T324" s="137"/>
      <c r="AR324" s="138"/>
      <c r="AT324" s="138"/>
      <c r="AU324" s="138"/>
      <c r="AY324" s="17"/>
      <c r="BE324" s="139"/>
      <c r="BF324" s="139"/>
      <c r="BG324" s="139"/>
      <c r="BH324" s="139"/>
      <c r="BI324" s="139"/>
      <c r="BJ324" s="17"/>
      <c r="BK324" s="139"/>
      <c r="BL324" s="17"/>
      <c r="BM324" s="138"/>
    </row>
    <row r="325" spans="2:65" s="1" customFormat="1" ht="16.5" customHeight="1" x14ac:dyDescent="0.2">
      <c r="B325" s="32"/>
      <c r="C325" s="127"/>
      <c r="D325" s="127" t="s">
        <v>108</v>
      </c>
      <c r="E325" s="128"/>
      <c r="F325" s="129" t="s">
        <v>536</v>
      </c>
      <c r="G325" s="130" t="s">
        <v>135</v>
      </c>
      <c r="H325" s="131">
        <v>1</v>
      </c>
      <c r="I325" s="132"/>
      <c r="J325" s="133">
        <f t="shared" ref="J325" si="40">ROUND(I325*H325,2)</f>
        <v>0</v>
      </c>
      <c r="K325" s="129"/>
      <c r="L325" s="32"/>
      <c r="M325" s="134"/>
      <c r="N325" s="135"/>
      <c r="P325" s="136"/>
      <c r="Q325" s="136"/>
      <c r="R325" s="136"/>
      <c r="S325" s="136"/>
      <c r="T325" s="137"/>
      <c r="AR325" s="138"/>
      <c r="AT325" s="138"/>
      <c r="AU325" s="138"/>
      <c r="AY325" s="17"/>
      <c r="BE325" s="139"/>
      <c r="BF325" s="139"/>
      <c r="BG325" s="139"/>
      <c r="BH325" s="139"/>
      <c r="BI325" s="139"/>
      <c r="BJ325" s="17"/>
      <c r="BK325" s="139"/>
      <c r="BL325" s="17"/>
      <c r="BM325" s="138"/>
    </row>
    <row r="326" spans="2:65" s="11" customFormat="1" ht="22.9" customHeight="1" x14ac:dyDescent="0.2">
      <c r="B326" s="115"/>
      <c r="D326" s="116" t="s">
        <v>66</v>
      </c>
      <c r="E326" s="125" t="s">
        <v>140</v>
      </c>
      <c r="F326" s="125" t="s">
        <v>141</v>
      </c>
      <c r="J326" s="126">
        <f>J327</f>
        <v>0</v>
      </c>
      <c r="L326" s="115"/>
      <c r="M326" s="120"/>
      <c r="P326" s="121">
        <f>SUM(P327:P328)</f>
        <v>0</v>
      </c>
      <c r="R326" s="121">
        <f>SUM(R327:R328)</f>
        <v>0</v>
      </c>
      <c r="T326" s="122">
        <f>SUM(T327:T328)</f>
        <v>0</v>
      </c>
      <c r="AR326" s="116" t="s">
        <v>75</v>
      </c>
      <c r="AT326" s="123" t="s">
        <v>66</v>
      </c>
      <c r="AU326" s="123" t="s">
        <v>75</v>
      </c>
      <c r="AY326" s="116" t="s">
        <v>106</v>
      </c>
      <c r="BK326" s="124">
        <f>SUM(BK327:BK328)</f>
        <v>0</v>
      </c>
    </row>
    <row r="327" spans="2:65" s="1" customFormat="1" ht="16.5" customHeight="1" x14ac:dyDescent="0.2">
      <c r="B327" s="32"/>
      <c r="C327" s="127"/>
      <c r="D327" s="127" t="s">
        <v>108</v>
      </c>
      <c r="E327" s="128" t="s">
        <v>142</v>
      </c>
      <c r="F327" s="129" t="s">
        <v>363</v>
      </c>
      <c r="G327" s="130" t="s">
        <v>135</v>
      </c>
      <c r="H327" s="131">
        <v>1</v>
      </c>
      <c r="I327" s="132"/>
      <c r="J327" s="133">
        <f>ROUND(I327*H327,2)</f>
        <v>0</v>
      </c>
      <c r="K327" s="129" t="s">
        <v>412</v>
      </c>
      <c r="L327" s="32"/>
      <c r="M327" s="134" t="s">
        <v>18</v>
      </c>
      <c r="N327" s="135" t="s">
        <v>38</v>
      </c>
      <c r="P327" s="136">
        <f>O327*H327</f>
        <v>0</v>
      </c>
      <c r="Q327" s="136">
        <v>0</v>
      </c>
      <c r="R327" s="136">
        <f>Q327*H327</f>
        <v>0</v>
      </c>
      <c r="S327" s="136">
        <v>0</v>
      </c>
      <c r="T327" s="137">
        <f>S327*H327</f>
        <v>0</v>
      </c>
      <c r="AR327" s="138" t="s">
        <v>110</v>
      </c>
      <c r="AT327" s="138" t="s">
        <v>108</v>
      </c>
      <c r="AU327" s="138" t="s">
        <v>77</v>
      </c>
      <c r="AY327" s="17" t="s">
        <v>106</v>
      </c>
      <c r="BE327" s="139">
        <f>IF(N327="základní",J327,0)</f>
        <v>0</v>
      </c>
      <c r="BF327" s="139">
        <f>IF(N327="snížená",J327,0)</f>
        <v>0</v>
      </c>
      <c r="BG327" s="139">
        <f>IF(N327="zákl. přenesená",J327,0)</f>
        <v>0</v>
      </c>
      <c r="BH327" s="139">
        <f>IF(N327="sníž. přenesená",J327,0)</f>
        <v>0</v>
      </c>
      <c r="BI327" s="139">
        <f>IF(N327="nulová",J327,0)</f>
        <v>0</v>
      </c>
      <c r="BJ327" s="17" t="s">
        <v>75</v>
      </c>
      <c r="BK327" s="139">
        <f>ROUND(I327*H327,2)</f>
        <v>0</v>
      </c>
      <c r="BL327" s="17" t="s">
        <v>110</v>
      </c>
      <c r="BM327" s="138" t="s">
        <v>144</v>
      </c>
    </row>
    <row r="328" spans="2:65" s="1" customFormat="1" x14ac:dyDescent="0.2">
      <c r="B328" s="32"/>
      <c r="D328" s="140"/>
      <c r="F328" s="141"/>
      <c r="I328" s="142"/>
      <c r="L328" s="32"/>
      <c r="M328" s="175"/>
      <c r="N328" s="176"/>
      <c r="O328" s="176"/>
      <c r="P328" s="176"/>
      <c r="Q328" s="176"/>
      <c r="R328" s="176"/>
      <c r="S328" s="176"/>
      <c r="T328" s="177"/>
      <c r="AT328" s="17" t="s">
        <v>111</v>
      </c>
      <c r="AU328" s="17" t="s">
        <v>77</v>
      </c>
    </row>
    <row r="329" spans="2:65" s="1" customFormat="1" ht="6.95" customHeight="1" x14ac:dyDescent="0.2">
      <c r="B329" s="41"/>
      <c r="C329" s="42"/>
      <c r="D329" s="42"/>
      <c r="E329" s="42"/>
      <c r="F329" s="42"/>
      <c r="G329" s="42"/>
      <c r="H329" s="42"/>
      <c r="I329" s="42"/>
      <c r="J329" s="42"/>
      <c r="K329" s="42"/>
      <c r="L329" s="32"/>
    </row>
  </sheetData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phoneticPr fontId="0" type="noConversion"/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91"/>
  <sheetViews>
    <sheetView showGridLines="0" topLeftCell="A66" workbookViewId="0">
      <selection activeCell="I87" sqref="I87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7" t="s">
        <v>80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77</v>
      </c>
    </row>
    <row r="4" spans="2:46" ht="24.95" customHeight="1" x14ac:dyDescent="0.2">
      <c r="B4" s="20"/>
      <c r="D4" s="21" t="s">
        <v>81</v>
      </c>
      <c r="L4" s="20"/>
      <c r="M4" s="85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25" t="str">
        <f>'Rekapitulace stavby'!K6</f>
        <v>Dětské hřiště, Praha 20, ul. Běluňská</v>
      </c>
      <c r="F7" s="326"/>
      <c r="G7" s="326"/>
      <c r="H7" s="326"/>
      <c r="L7" s="20"/>
    </row>
    <row r="8" spans="2:46" s="1" customFormat="1" ht="12" customHeight="1" x14ac:dyDescent="0.2">
      <c r="B8" s="32"/>
      <c r="D8" s="27" t="s">
        <v>82</v>
      </c>
      <c r="L8" s="32"/>
    </row>
    <row r="9" spans="2:46" s="1" customFormat="1" ht="16.5" customHeight="1" x14ac:dyDescent="0.2">
      <c r="B9" s="32"/>
      <c r="E9" s="297" t="s">
        <v>145</v>
      </c>
      <c r="F9" s="324"/>
      <c r="G9" s="324"/>
      <c r="H9" s="324"/>
      <c r="L9" s="32"/>
    </row>
    <row r="10" spans="2:46" s="1" customFormat="1" x14ac:dyDescent="0.2">
      <c r="B10" s="32"/>
      <c r="L10" s="32"/>
    </row>
    <row r="11" spans="2:46" s="1" customFormat="1" ht="12" customHeight="1" x14ac:dyDescent="0.2">
      <c r="B11" s="32"/>
      <c r="D11" s="27" t="s">
        <v>17</v>
      </c>
      <c r="F11" s="25" t="s">
        <v>18</v>
      </c>
      <c r="I11" s="27" t="s">
        <v>19</v>
      </c>
      <c r="J11" s="25" t="s">
        <v>18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49">
        <f>'Rekapitulace stavby'!AN8</f>
        <v>0</v>
      </c>
      <c r="L12" s="32"/>
    </row>
    <row r="13" spans="2:46" s="1" customFormat="1" ht="10.9" customHeight="1" x14ac:dyDescent="0.2">
      <c r="B13" s="32"/>
      <c r="L13" s="32"/>
    </row>
    <row r="14" spans="2:46" s="1" customFormat="1" ht="12" customHeight="1" x14ac:dyDescent="0.2">
      <c r="B14" s="32"/>
      <c r="D14" s="27" t="s">
        <v>23</v>
      </c>
      <c r="I14" s="27" t="s">
        <v>24</v>
      </c>
      <c r="J14" s="25" t="str">
        <f>IF('Rekapitulace stavby'!AN10="","",'Rekapitulace stavby'!AN10)</f>
        <v/>
      </c>
      <c r="L14" s="32"/>
    </row>
    <row r="15" spans="2:46" s="1" customFormat="1" ht="18" customHeight="1" x14ac:dyDescent="0.2">
      <c r="B15" s="32"/>
      <c r="E15" s="25" t="str">
        <f>IF('Rekapitulace stavby'!E11="","",'Rekapitulace stavby'!E11)</f>
        <v xml:space="preserve"> </v>
      </c>
      <c r="I15" s="27" t="s">
        <v>25</v>
      </c>
      <c r="J15" s="25" t="str">
        <f>IF('Rekapitulace stavby'!AN11="","",'Rekapitulace stavby'!AN11)</f>
        <v/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26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327" t="str">
        <f>'Rekapitulace stavby'!E14</f>
        <v>Vyplň údaj</v>
      </c>
      <c r="F18" s="316"/>
      <c r="G18" s="316"/>
      <c r="H18" s="316"/>
      <c r="I18" s="27" t="s">
        <v>25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28</v>
      </c>
      <c r="I20" s="27" t="s">
        <v>24</v>
      </c>
      <c r="J20" s="25" t="str">
        <f>IF('Rekapitulace stavby'!AN16="","",'Rekapitulace stavby'!AN16)</f>
        <v/>
      </c>
      <c r="L20" s="32"/>
    </row>
    <row r="21" spans="2:12" s="1" customFormat="1" ht="18" customHeight="1" x14ac:dyDescent="0.2">
      <c r="B21" s="32"/>
      <c r="E21" s="25" t="str">
        <f>IF('Rekapitulace stavby'!E17="","",'Rekapitulace stavby'!E17)</f>
        <v xml:space="preserve"> </v>
      </c>
      <c r="I21" s="27" t="s">
        <v>25</v>
      </c>
      <c r="J21" s="25" t="str">
        <f>IF('Rekapitulace stavby'!AN17="","",'Rekapitulace stavby'!AN17)</f>
        <v/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30</v>
      </c>
      <c r="I23" s="27" t="s">
        <v>24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25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31</v>
      </c>
      <c r="L26" s="32"/>
    </row>
    <row r="27" spans="2:12" s="7" customFormat="1" ht="16.5" customHeight="1" x14ac:dyDescent="0.2">
      <c r="B27" s="86"/>
      <c r="E27" s="320" t="s">
        <v>18</v>
      </c>
      <c r="F27" s="320"/>
      <c r="G27" s="320"/>
      <c r="H27" s="320"/>
      <c r="L27" s="86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 x14ac:dyDescent="0.2">
      <c r="B30" s="32"/>
      <c r="D30" s="87" t="s">
        <v>33</v>
      </c>
      <c r="J30" s="63">
        <f>ROUND(J81, 2)</f>
        <v>0</v>
      </c>
      <c r="L30" s="32"/>
    </row>
    <row r="31" spans="2:12" s="1" customFormat="1" ht="6.95" customHeight="1" x14ac:dyDescent="0.2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 x14ac:dyDescent="0.2">
      <c r="B32" s="32"/>
      <c r="F32" s="35" t="s">
        <v>35</v>
      </c>
      <c r="I32" s="35" t="s">
        <v>34</v>
      </c>
      <c r="J32" s="35" t="s">
        <v>36</v>
      </c>
      <c r="L32" s="32"/>
    </row>
    <row r="33" spans="2:12" s="1" customFormat="1" ht="14.45" customHeight="1" x14ac:dyDescent="0.2">
      <c r="B33" s="32"/>
      <c r="D33" s="52" t="s">
        <v>37</v>
      </c>
      <c r="E33" s="27" t="s">
        <v>38</v>
      </c>
      <c r="F33" s="88">
        <f>J30</f>
        <v>0</v>
      </c>
      <c r="I33" s="89">
        <v>0.21</v>
      </c>
      <c r="J33" s="88">
        <f>F33*0.21</f>
        <v>0</v>
      </c>
      <c r="L33" s="32"/>
    </row>
    <row r="34" spans="2:12" s="1" customFormat="1" ht="14.45" customHeight="1" x14ac:dyDescent="0.2">
      <c r="B34" s="32"/>
      <c r="E34" s="27" t="s">
        <v>39</v>
      </c>
      <c r="F34" s="88">
        <f>ROUND((SUM(BF81:BF90)),  2)</f>
        <v>0</v>
      </c>
      <c r="I34" s="89">
        <v>0.15</v>
      </c>
      <c r="J34" s="88">
        <f>ROUND(((SUM(BF81:BF90))*I34),  2)</f>
        <v>0</v>
      </c>
      <c r="L34" s="32"/>
    </row>
    <row r="35" spans="2:12" s="1" customFormat="1" ht="14.45" hidden="1" customHeight="1" x14ac:dyDescent="0.2">
      <c r="B35" s="32"/>
      <c r="E35" s="27" t="s">
        <v>40</v>
      </c>
      <c r="F35" s="88">
        <f>ROUND((SUM(BG81:BG90)),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 x14ac:dyDescent="0.2">
      <c r="B36" s="32"/>
      <c r="E36" s="27" t="s">
        <v>41</v>
      </c>
      <c r="F36" s="88">
        <f>ROUND((SUM(BH81:BH90)),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 x14ac:dyDescent="0.2">
      <c r="B37" s="32"/>
      <c r="E37" s="27" t="s">
        <v>42</v>
      </c>
      <c r="F37" s="88">
        <f>ROUND((SUM(BI81:BI90)),  2)</f>
        <v>0</v>
      </c>
      <c r="I37" s="89">
        <v>0</v>
      </c>
      <c r="J37" s="88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0"/>
      <c r="D39" s="91" t="s">
        <v>43</v>
      </c>
      <c r="E39" s="54"/>
      <c r="F39" s="54"/>
      <c r="G39" s="92" t="s">
        <v>44</v>
      </c>
      <c r="H39" s="93" t="s">
        <v>45</v>
      </c>
      <c r="I39" s="54"/>
      <c r="J39" s="94">
        <f>SUM(J30:J37)</f>
        <v>0</v>
      </c>
      <c r="K39" s="95"/>
      <c r="L39" s="32"/>
    </row>
    <row r="40" spans="2:12" s="1" customFormat="1" ht="14.45" customHeight="1" x14ac:dyDescent="0.2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 x14ac:dyDescent="0.2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 x14ac:dyDescent="0.2">
      <c r="B45" s="32"/>
      <c r="C45" s="21" t="s">
        <v>84</v>
      </c>
      <c r="L45" s="32"/>
    </row>
    <row r="46" spans="2:12" s="1" customFormat="1" ht="6.95" customHeight="1" x14ac:dyDescent="0.2">
      <c r="B46" s="32"/>
      <c r="L46" s="32"/>
    </row>
    <row r="47" spans="2:12" s="1" customFormat="1" ht="12" customHeight="1" x14ac:dyDescent="0.2">
      <c r="B47" s="32"/>
      <c r="C47" s="27" t="s">
        <v>16</v>
      </c>
      <c r="L47" s="32"/>
    </row>
    <row r="48" spans="2:12" s="1" customFormat="1" ht="16.5" customHeight="1" x14ac:dyDescent="0.2">
      <c r="B48" s="32"/>
      <c r="E48" s="325" t="str">
        <f>E7</f>
        <v>Dětské hřiště, Praha 20, ul. Běluňská</v>
      </c>
      <c r="F48" s="326"/>
      <c r="G48" s="326"/>
      <c r="H48" s="326"/>
      <c r="L48" s="32"/>
    </row>
    <row r="49" spans="2:47" s="1" customFormat="1" ht="12" customHeight="1" x14ac:dyDescent="0.2">
      <c r="B49" s="32"/>
      <c r="C49" s="27" t="s">
        <v>82</v>
      </c>
      <c r="L49" s="32"/>
    </row>
    <row r="50" spans="2:47" s="1" customFormat="1" ht="16.5" customHeight="1" x14ac:dyDescent="0.2">
      <c r="B50" s="32"/>
      <c r="E50" s="297" t="str">
        <f>E9</f>
        <v>02 - VRN</v>
      </c>
      <c r="F50" s="324"/>
      <c r="G50" s="324"/>
      <c r="H50" s="324"/>
      <c r="L50" s="32"/>
    </row>
    <row r="51" spans="2:47" s="1" customFormat="1" ht="6.95" customHeight="1" x14ac:dyDescent="0.2">
      <c r="B51" s="32"/>
      <c r="L51" s="32"/>
    </row>
    <row r="52" spans="2:47" s="1" customFormat="1" ht="12" customHeight="1" x14ac:dyDescent="0.2">
      <c r="B52" s="32"/>
      <c r="C52" s="27" t="s">
        <v>20</v>
      </c>
      <c r="F52" s="25" t="str">
        <f>F12</f>
        <v xml:space="preserve"> </v>
      </c>
      <c r="I52" s="27" t="s">
        <v>22</v>
      </c>
      <c r="J52" s="49">
        <f>IF(J12="","",J12)</f>
        <v>0</v>
      </c>
      <c r="L52" s="32"/>
    </row>
    <row r="53" spans="2:47" s="1" customFormat="1" ht="6.95" customHeight="1" x14ac:dyDescent="0.2">
      <c r="B53" s="32"/>
      <c r="L53" s="32"/>
    </row>
    <row r="54" spans="2:47" s="1" customFormat="1" ht="15.2" customHeight="1" x14ac:dyDescent="0.2">
      <c r="B54" s="32"/>
      <c r="C54" s="27" t="s">
        <v>23</v>
      </c>
      <c r="F54" s="25" t="str">
        <f>E15</f>
        <v xml:space="preserve"> </v>
      </c>
      <c r="I54" s="27" t="s">
        <v>28</v>
      </c>
      <c r="J54" s="30" t="str">
        <f>E21</f>
        <v xml:space="preserve"> </v>
      </c>
      <c r="L54" s="32"/>
    </row>
    <row r="55" spans="2:47" s="1" customFormat="1" ht="15.2" customHeight="1" x14ac:dyDescent="0.2">
      <c r="B55" s="32"/>
      <c r="C55" s="27" t="s">
        <v>26</v>
      </c>
      <c r="F55" s="25" t="str">
        <f>IF(E18="","",E18)</f>
        <v>Vyplň údaj</v>
      </c>
      <c r="I55" s="27" t="s">
        <v>30</v>
      </c>
      <c r="J55" s="30" t="str">
        <f>E24</f>
        <v xml:space="preserve"> </v>
      </c>
      <c r="L55" s="32"/>
    </row>
    <row r="56" spans="2:47" s="1" customFormat="1" ht="10.35" customHeight="1" x14ac:dyDescent="0.2">
      <c r="B56" s="32"/>
      <c r="L56" s="32"/>
    </row>
    <row r="57" spans="2:47" s="1" customFormat="1" ht="29.25" customHeight="1" x14ac:dyDescent="0.2">
      <c r="B57" s="32"/>
      <c r="C57" s="96" t="s">
        <v>85</v>
      </c>
      <c r="D57" s="90"/>
      <c r="E57" s="90"/>
      <c r="F57" s="90"/>
      <c r="G57" s="90"/>
      <c r="H57" s="90"/>
      <c r="I57" s="90"/>
      <c r="J57" s="97" t="s">
        <v>86</v>
      </c>
      <c r="K57" s="90"/>
      <c r="L57" s="32"/>
    </row>
    <row r="58" spans="2:47" s="1" customFormat="1" ht="10.35" customHeight="1" x14ac:dyDescent="0.2">
      <c r="B58" s="32"/>
      <c r="L58" s="32"/>
    </row>
    <row r="59" spans="2:47" s="1" customFormat="1" ht="22.9" customHeight="1" x14ac:dyDescent="0.2">
      <c r="B59" s="32"/>
      <c r="C59" s="98" t="s">
        <v>65</v>
      </c>
      <c r="J59" s="63">
        <f>J81</f>
        <v>0</v>
      </c>
      <c r="L59" s="32"/>
      <c r="AU59" s="17" t="s">
        <v>87</v>
      </c>
    </row>
    <row r="60" spans="2:47" s="8" customFormat="1" ht="24.95" customHeight="1" x14ac:dyDescent="0.2">
      <c r="B60" s="99"/>
      <c r="D60" s="100" t="s">
        <v>146</v>
      </c>
      <c r="E60" s="101"/>
      <c r="F60" s="101"/>
      <c r="G60" s="101"/>
      <c r="H60" s="101"/>
      <c r="I60" s="101"/>
      <c r="J60" s="102">
        <f>J82</f>
        <v>0</v>
      </c>
      <c r="L60" s="99"/>
    </row>
    <row r="61" spans="2:47" s="8" customFormat="1" ht="24.95" customHeight="1" x14ac:dyDescent="0.2">
      <c r="B61" s="99"/>
      <c r="D61" s="100" t="s">
        <v>147</v>
      </c>
      <c r="E61" s="101"/>
      <c r="F61" s="101"/>
      <c r="G61" s="101"/>
      <c r="H61" s="101"/>
      <c r="I61" s="101"/>
      <c r="J61" s="102">
        <f>J86</f>
        <v>0</v>
      </c>
      <c r="L61" s="99"/>
    </row>
    <row r="62" spans="2:47" s="1" customFormat="1" ht="21.75" customHeight="1" x14ac:dyDescent="0.2">
      <c r="B62" s="32"/>
      <c r="L62" s="32"/>
    </row>
    <row r="63" spans="2:47" s="1" customFormat="1" ht="6.95" customHeight="1" x14ac:dyDescent="0.2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32"/>
    </row>
    <row r="67" spans="2:20" s="1" customFormat="1" ht="6.95" customHeight="1" x14ac:dyDescent="0.2"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32"/>
    </row>
    <row r="68" spans="2:20" s="1" customFormat="1" ht="24.95" customHeight="1" x14ac:dyDescent="0.2">
      <c r="B68" s="32"/>
      <c r="C68" s="21" t="s">
        <v>93</v>
      </c>
      <c r="L68" s="32"/>
    </row>
    <row r="69" spans="2:20" s="1" customFormat="1" ht="6.95" customHeight="1" x14ac:dyDescent="0.2">
      <c r="B69" s="32"/>
      <c r="L69" s="32"/>
    </row>
    <row r="70" spans="2:20" s="1" customFormat="1" ht="12" customHeight="1" x14ac:dyDescent="0.2">
      <c r="B70" s="32"/>
      <c r="C70" s="27" t="s">
        <v>16</v>
      </c>
      <c r="L70" s="32"/>
    </row>
    <row r="71" spans="2:20" s="1" customFormat="1" ht="16.5" customHeight="1" x14ac:dyDescent="0.2">
      <c r="B71" s="32"/>
      <c r="E71" s="325" t="str">
        <f>E7</f>
        <v>Dětské hřiště, Praha 20, ul. Běluňská</v>
      </c>
      <c r="F71" s="326"/>
      <c r="G71" s="326"/>
      <c r="H71" s="326"/>
      <c r="L71" s="32"/>
    </row>
    <row r="72" spans="2:20" s="1" customFormat="1" ht="12" customHeight="1" x14ac:dyDescent="0.2">
      <c r="B72" s="32"/>
      <c r="C72" s="27" t="s">
        <v>82</v>
      </c>
      <c r="L72" s="32"/>
    </row>
    <row r="73" spans="2:20" s="1" customFormat="1" ht="16.5" customHeight="1" x14ac:dyDescent="0.2">
      <c r="B73" s="32"/>
      <c r="E73" s="297" t="str">
        <f>E9</f>
        <v>02 - VRN</v>
      </c>
      <c r="F73" s="324"/>
      <c r="G73" s="324"/>
      <c r="H73" s="324"/>
      <c r="L73" s="32"/>
    </row>
    <row r="74" spans="2:20" s="1" customFormat="1" ht="6.95" customHeight="1" x14ac:dyDescent="0.2">
      <c r="B74" s="32"/>
      <c r="L74" s="32"/>
    </row>
    <row r="75" spans="2:20" s="1" customFormat="1" ht="12" customHeight="1" x14ac:dyDescent="0.2">
      <c r="B75" s="32"/>
      <c r="C75" s="27" t="s">
        <v>20</v>
      </c>
      <c r="F75" s="25" t="str">
        <f>F12</f>
        <v xml:space="preserve"> </v>
      </c>
      <c r="I75" s="27" t="s">
        <v>22</v>
      </c>
      <c r="J75" s="49">
        <f>IF(J12="","",J12)</f>
        <v>0</v>
      </c>
      <c r="L75" s="32"/>
    </row>
    <row r="76" spans="2:20" s="1" customFormat="1" ht="6.95" customHeight="1" x14ac:dyDescent="0.2">
      <c r="B76" s="32"/>
      <c r="L76" s="32"/>
    </row>
    <row r="77" spans="2:20" s="1" customFormat="1" ht="15.2" customHeight="1" x14ac:dyDescent="0.2">
      <c r="B77" s="32"/>
      <c r="C77" s="27" t="s">
        <v>23</v>
      </c>
      <c r="F77" s="25" t="str">
        <f>E15</f>
        <v xml:space="preserve"> </v>
      </c>
      <c r="I77" s="27" t="s">
        <v>28</v>
      </c>
      <c r="J77" s="30" t="str">
        <f>E21</f>
        <v xml:space="preserve"> </v>
      </c>
      <c r="L77" s="32"/>
    </row>
    <row r="78" spans="2:20" s="1" customFormat="1" ht="15.2" customHeight="1" x14ac:dyDescent="0.2">
      <c r="B78" s="32"/>
      <c r="C78" s="27" t="s">
        <v>26</v>
      </c>
      <c r="F78" s="25" t="str">
        <f>IF(E18="","",E18)</f>
        <v>Vyplň údaj</v>
      </c>
      <c r="I78" s="27" t="s">
        <v>30</v>
      </c>
      <c r="J78" s="30" t="str">
        <f>E24</f>
        <v xml:space="preserve"> </v>
      </c>
      <c r="L78" s="32"/>
    </row>
    <row r="79" spans="2:20" s="1" customFormat="1" ht="10.35" customHeight="1" x14ac:dyDescent="0.2">
      <c r="B79" s="32"/>
      <c r="L79" s="32"/>
    </row>
    <row r="80" spans="2:20" s="10" customFormat="1" ht="29.25" customHeight="1" x14ac:dyDescent="0.2">
      <c r="B80" s="107"/>
      <c r="C80" s="108" t="s">
        <v>94</v>
      </c>
      <c r="D80" s="109" t="s">
        <v>52</v>
      </c>
      <c r="E80" s="109" t="s">
        <v>48</v>
      </c>
      <c r="F80" s="109" t="s">
        <v>49</v>
      </c>
      <c r="G80" s="109" t="s">
        <v>95</v>
      </c>
      <c r="H80" s="109" t="s">
        <v>96</v>
      </c>
      <c r="I80" s="109" t="s">
        <v>97</v>
      </c>
      <c r="J80" s="109" t="s">
        <v>86</v>
      </c>
      <c r="K80" s="110" t="s">
        <v>98</v>
      </c>
      <c r="L80" s="107"/>
      <c r="M80" s="56" t="s">
        <v>18</v>
      </c>
      <c r="N80" s="57" t="s">
        <v>37</v>
      </c>
      <c r="O80" s="57" t="s">
        <v>99</v>
      </c>
      <c r="P80" s="57" t="s">
        <v>100</v>
      </c>
      <c r="Q80" s="57" t="s">
        <v>101</v>
      </c>
      <c r="R80" s="57" t="s">
        <v>102</v>
      </c>
      <c r="S80" s="57" t="s">
        <v>103</v>
      </c>
      <c r="T80" s="58" t="s">
        <v>104</v>
      </c>
    </row>
    <row r="81" spans="2:65" s="1" customFormat="1" ht="22.9" customHeight="1" x14ac:dyDescent="0.25">
      <c r="B81" s="32"/>
      <c r="C81" s="61" t="s">
        <v>105</v>
      </c>
      <c r="J81" s="111">
        <f>J82+J86</f>
        <v>0</v>
      </c>
      <c r="L81" s="32"/>
      <c r="M81" s="59"/>
      <c r="N81" s="50"/>
      <c r="O81" s="50"/>
      <c r="P81" s="112">
        <f>P82+P86</f>
        <v>0</v>
      </c>
      <c r="Q81" s="50"/>
      <c r="R81" s="112">
        <f>R82+R86</f>
        <v>0</v>
      </c>
      <c r="S81" s="50"/>
      <c r="T81" s="113">
        <f>T82+T86</f>
        <v>0</v>
      </c>
      <c r="AT81" s="17" t="s">
        <v>66</v>
      </c>
      <c r="AU81" s="17" t="s">
        <v>87</v>
      </c>
      <c r="BK81" s="114">
        <f>BK82+BK86</f>
        <v>0</v>
      </c>
    </row>
    <row r="82" spans="2:65" s="11" customFormat="1" ht="25.9" customHeight="1" x14ac:dyDescent="0.2">
      <c r="B82" s="115"/>
      <c r="D82" s="116" t="s">
        <v>66</v>
      </c>
      <c r="E82" s="117" t="s">
        <v>148</v>
      </c>
      <c r="F82" s="117" t="s">
        <v>149</v>
      </c>
      <c r="I82" s="118"/>
      <c r="J82" s="119">
        <f>SUM(J83:J85)</f>
        <v>0</v>
      </c>
      <c r="L82" s="115"/>
      <c r="M82" s="120"/>
      <c r="P82" s="121">
        <f>SUM(P83:P85)</f>
        <v>0</v>
      </c>
      <c r="R82" s="121">
        <f>SUM(R83:R85)</f>
        <v>0</v>
      </c>
      <c r="T82" s="122">
        <f>SUM(T83:T85)</f>
        <v>0</v>
      </c>
      <c r="AR82" s="116" t="s">
        <v>75</v>
      </c>
      <c r="AT82" s="123" t="s">
        <v>66</v>
      </c>
      <c r="AU82" s="123" t="s">
        <v>67</v>
      </c>
      <c r="AY82" s="116" t="s">
        <v>106</v>
      </c>
      <c r="BK82" s="124">
        <f>SUM(BK83:BK85)</f>
        <v>0</v>
      </c>
    </row>
    <row r="83" spans="2:65" s="1" customFormat="1" ht="16.5" customHeight="1" x14ac:dyDescent="0.2">
      <c r="B83" s="32"/>
      <c r="C83" s="127">
        <v>1</v>
      </c>
      <c r="D83" s="127" t="s">
        <v>108</v>
      </c>
      <c r="E83" s="128" t="s">
        <v>150</v>
      </c>
      <c r="F83" s="129" t="s">
        <v>417</v>
      </c>
      <c r="G83" s="130" t="s">
        <v>135</v>
      </c>
      <c r="H83" s="131">
        <v>1</v>
      </c>
      <c r="I83" s="132"/>
      <c r="J83" s="133">
        <f t="shared" ref="J83:J85" si="0">ROUND(I83*H83,2)</f>
        <v>0</v>
      </c>
      <c r="K83" s="129" t="s">
        <v>412</v>
      </c>
      <c r="L83" s="32"/>
      <c r="M83" s="134" t="s">
        <v>18</v>
      </c>
      <c r="N83" s="135" t="s">
        <v>38</v>
      </c>
      <c r="P83" s="136">
        <f t="shared" ref="P83:P85" si="1">O83*H83</f>
        <v>0</v>
      </c>
      <c r="Q83" s="136">
        <v>0</v>
      </c>
      <c r="R83" s="136">
        <f t="shared" ref="R83:R85" si="2">Q83*H83</f>
        <v>0</v>
      </c>
      <c r="S83" s="136">
        <v>0</v>
      </c>
      <c r="T83" s="137">
        <f t="shared" ref="T83:T85" si="3">S83*H83</f>
        <v>0</v>
      </c>
      <c r="AR83" s="138" t="s">
        <v>110</v>
      </c>
      <c r="AT83" s="138" t="s">
        <v>108</v>
      </c>
      <c r="AU83" s="138" t="s">
        <v>75</v>
      </c>
      <c r="AY83" s="17" t="s">
        <v>106</v>
      </c>
      <c r="BE83" s="139">
        <f t="shared" ref="BE83:BE85" si="4">IF(N83="základní",J83,0)</f>
        <v>0</v>
      </c>
      <c r="BF83" s="139">
        <f t="shared" ref="BF83:BF85" si="5">IF(N83="snížená",J83,0)</f>
        <v>0</v>
      </c>
      <c r="BG83" s="139">
        <f t="shared" ref="BG83:BG85" si="6">IF(N83="zákl. přenesená",J83,0)</f>
        <v>0</v>
      </c>
      <c r="BH83" s="139">
        <f t="shared" ref="BH83:BH85" si="7">IF(N83="sníž. přenesená",J83,0)</f>
        <v>0</v>
      </c>
      <c r="BI83" s="139">
        <f t="shared" ref="BI83:BI85" si="8">IF(N83="nulová",J83,0)</f>
        <v>0</v>
      </c>
      <c r="BJ83" s="17" t="s">
        <v>75</v>
      </c>
      <c r="BK83" s="139">
        <f t="shared" ref="BK83:BK85" si="9">ROUND(I83*H83,2)</f>
        <v>0</v>
      </c>
      <c r="BL83" s="17" t="s">
        <v>110</v>
      </c>
      <c r="BM83" s="138" t="s">
        <v>151</v>
      </c>
    </row>
    <row r="84" spans="2:65" s="1" customFormat="1" ht="16.5" customHeight="1" x14ac:dyDescent="0.2">
      <c r="B84" s="32"/>
      <c r="C84" s="127">
        <v>2</v>
      </c>
      <c r="D84" s="127" t="s">
        <v>108</v>
      </c>
      <c r="E84" s="128" t="s">
        <v>371</v>
      </c>
      <c r="F84" s="129" t="s">
        <v>372</v>
      </c>
      <c r="G84" s="130" t="s">
        <v>135</v>
      </c>
      <c r="H84" s="131">
        <v>1</v>
      </c>
      <c r="I84" s="132"/>
      <c r="J84" s="133">
        <f t="shared" ref="J84" si="10">ROUND(I84*H84,2)</f>
        <v>0</v>
      </c>
      <c r="K84" s="129" t="s">
        <v>412</v>
      </c>
      <c r="L84" s="32"/>
      <c r="M84" s="134"/>
      <c r="N84" s="135"/>
      <c r="P84" s="136"/>
      <c r="Q84" s="136"/>
      <c r="R84" s="136"/>
      <c r="S84" s="136"/>
      <c r="T84" s="137"/>
      <c r="AR84" s="138"/>
      <c r="AT84" s="138"/>
      <c r="AU84" s="138"/>
      <c r="AY84" s="17"/>
      <c r="BE84" s="139"/>
      <c r="BF84" s="139"/>
      <c r="BG84" s="139"/>
      <c r="BH84" s="139"/>
      <c r="BI84" s="139"/>
      <c r="BJ84" s="17"/>
      <c r="BK84" s="139"/>
      <c r="BL84" s="17"/>
      <c r="BM84" s="138"/>
    </row>
    <row r="85" spans="2:65" s="1" customFormat="1" ht="16.5" customHeight="1" x14ac:dyDescent="0.2">
      <c r="B85" s="32"/>
      <c r="C85" s="127">
        <v>3</v>
      </c>
      <c r="D85" s="127" t="s">
        <v>108</v>
      </c>
      <c r="E85" s="128" t="s">
        <v>152</v>
      </c>
      <c r="F85" s="129" t="s">
        <v>153</v>
      </c>
      <c r="G85" s="130" t="s">
        <v>135</v>
      </c>
      <c r="H85" s="131">
        <v>1</v>
      </c>
      <c r="I85" s="132"/>
      <c r="J85" s="133">
        <f t="shared" si="0"/>
        <v>0</v>
      </c>
      <c r="K85" s="129" t="s">
        <v>412</v>
      </c>
      <c r="L85" s="32"/>
      <c r="M85" s="134" t="s">
        <v>18</v>
      </c>
      <c r="N85" s="135" t="s">
        <v>38</v>
      </c>
      <c r="P85" s="136">
        <f t="shared" si="1"/>
        <v>0</v>
      </c>
      <c r="Q85" s="136">
        <v>0</v>
      </c>
      <c r="R85" s="136">
        <f t="shared" si="2"/>
        <v>0</v>
      </c>
      <c r="S85" s="136">
        <v>0</v>
      </c>
      <c r="T85" s="137">
        <f t="shared" si="3"/>
        <v>0</v>
      </c>
      <c r="AR85" s="138" t="s">
        <v>110</v>
      </c>
      <c r="AT85" s="138" t="s">
        <v>108</v>
      </c>
      <c r="AU85" s="138" t="s">
        <v>75</v>
      </c>
      <c r="AY85" s="17" t="s">
        <v>106</v>
      </c>
      <c r="BE85" s="139">
        <f t="shared" si="4"/>
        <v>0</v>
      </c>
      <c r="BF85" s="139">
        <f t="shared" si="5"/>
        <v>0</v>
      </c>
      <c r="BG85" s="139">
        <f t="shared" si="6"/>
        <v>0</v>
      </c>
      <c r="BH85" s="139">
        <f t="shared" si="7"/>
        <v>0</v>
      </c>
      <c r="BI85" s="139">
        <f t="shared" si="8"/>
        <v>0</v>
      </c>
      <c r="BJ85" s="17" t="s">
        <v>75</v>
      </c>
      <c r="BK85" s="139">
        <f t="shared" si="9"/>
        <v>0</v>
      </c>
      <c r="BL85" s="17" t="s">
        <v>110</v>
      </c>
      <c r="BM85" s="138" t="s">
        <v>154</v>
      </c>
    </row>
    <row r="86" spans="2:65" s="11" customFormat="1" ht="25.9" customHeight="1" x14ac:dyDescent="0.2">
      <c r="B86" s="115"/>
      <c r="D86" s="116" t="s">
        <v>66</v>
      </c>
      <c r="E86" s="117" t="s">
        <v>155</v>
      </c>
      <c r="F86" s="117" t="s">
        <v>156</v>
      </c>
      <c r="I86" s="118"/>
      <c r="J86" s="119">
        <f>SUM(J87:J90)</f>
        <v>0</v>
      </c>
      <c r="L86" s="115"/>
      <c r="M86" s="120"/>
      <c r="P86" s="121">
        <f>SUM(P87:P90)</f>
        <v>0</v>
      </c>
      <c r="R86" s="121">
        <f>SUM(R87:R90)</f>
        <v>0</v>
      </c>
      <c r="T86" s="122">
        <f>SUM(T87:T90)</f>
        <v>0</v>
      </c>
      <c r="AR86" s="116" t="s">
        <v>75</v>
      </c>
      <c r="AT86" s="123" t="s">
        <v>66</v>
      </c>
      <c r="AU86" s="123" t="s">
        <v>67</v>
      </c>
      <c r="AY86" s="116" t="s">
        <v>106</v>
      </c>
      <c r="BK86" s="124">
        <f>SUM(BK87:BK90)</f>
        <v>0</v>
      </c>
    </row>
    <row r="87" spans="2:65" s="1" customFormat="1" ht="16.5" customHeight="1" x14ac:dyDescent="0.2">
      <c r="B87" s="32"/>
      <c r="C87" s="127">
        <v>4</v>
      </c>
      <c r="D87" s="127" t="s">
        <v>108</v>
      </c>
      <c r="E87" s="128" t="s">
        <v>157</v>
      </c>
      <c r="F87" s="129" t="s">
        <v>158</v>
      </c>
      <c r="G87" s="130" t="s">
        <v>159</v>
      </c>
      <c r="H87" s="131">
        <v>1</v>
      </c>
      <c r="I87" s="132"/>
      <c r="J87" s="133">
        <f>ROUND(I87*H87,2)</f>
        <v>0</v>
      </c>
      <c r="K87" s="129" t="s">
        <v>412</v>
      </c>
      <c r="L87" s="32"/>
      <c r="M87" s="134" t="s">
        <v>18</v>
      </c>
      <c r="N87" s="135" t="s">
        <v>38</v>
      </c>
      <c r="P87" s="136">
        <f>O87*H87</f>
        <v>0</v>
      </c>
      <c r="Q87" s="136">
        <v>0</v>
      </c>
      <c r="R87" s="136">
        <f>Q87*H87</f>
        <v>0</v>
      </c>
      <c r="S87" s="136">
        <v>0</v>
      </c>
      <c r="T87" s="137">
        <f>S87*H87</f>
        <v>0</v>
      </c>
      <c r="AR87" s="138" t="s">
        <v>110</v>
      </c>
      <c r="AT87" s="138" t="s">
        <v>108</v>
      </c>
      <c r="AU87" s="138" t="s">
        <v>75</v>
      </c>
      <c r="AY87" s="17" t="s">
        <v>106</v>
      </c>
      <c r="BE87" s="139">
        <f>IF(N87="základní",J87,0)</f>
        <v>0</v>
      </c>
      <c r="BF87" s="139">
        <f>IF(N87="snížená",J87,0)</f>
        <v>0</v>
      </c>
      <c r="BG87" s="139">
        <f>IF(N87="zákl. přenesená",J87,0)</f>
        <v>0</v>
      </c>
      <c r="BH87" s="139">
        <f>IF(N87="sníž. přenesená",J87,0)</f>
        <v>0</v>
      </c>
      <c r="BI87" s="139">
        <f>IF(N87="nulová",J87,0)</f>
        <v>0</v>
      </c>
      <c r="BJ87" s="17" t="s">
        <v>75</v>
      </c>
      <c r="BK87" s="139">
        <f>ROUND(I87*H87,2)</f>
        <v>0</v>
      </c>
      <c r="BL87" s="17" t="s">
        <v>110</v>
      </c>
      <c r="BM87" s="138" t="s">
        <v>160</v>
      </c>
    </row>
    <row r="88" spans="2:65" s="1" customFormat="1" ht="16.5" customHeight="1" x14ac:dyDescent="0.2">
      <c r="B88" s="32"/>
      <c r="C88" s="127">
        <v>5</v>
      </c>
      <c r="D88" s="127" t="s">
        <v>108</v>
      </c>
      <c r="E88" s="128" t="s">
        <v>161</v>
      </c>
      <c r="F88" s="129" t="s">
        <v>162</v>
      </c>
      <c r="G88" s="130" t="s">
        <v>159</v>
      </c>
      <c r="H88" s="131">
        <v>1</v>
      </c>
      <c r="I88" s="132"/>
      <c r="J88" s="133">
        <f>ROUND(I88*H88,2)</f>
        <v>0</v>
      </c>
      <c r="K88" s="129" t="s">
        <v>412</v>
      </c>
      <c r="L88" s="32"/>
      <c r="M88" s="134" t="s">
        <v>18</v>
      </c>
      <c r="N88" s="135" t="s">
        <v>38</v>
      </c>
      <c r="P88" s="136">
        <f>O88*H88</f>
        <v>0</v>
      </c>
      <c r="Q88" s="136">
        <v>0</v>
      </c>
      <c r="R88" s="136">
        <f>Q88*H88</f>
        <v>0</v>
      </c>
      <c r="S88" s="136">
        <v>0</v>
      </c>
      <c r="T88" s="137">
        <f>S88*H88</f>
        <v>0</v>
      </c>
      <c r="AR88" s="138" t="s">
        <v>110</v>
      </c>
      <c r="AT88" s="138" t="s">
        <v>108</v>
      </c>
      <c r="AU88" s="138" t="s">
        <v>75</v>
      </c>
      <c r="AY88" s="17" t="s">
        <v>106</v>
      </c>
      <c r="BE88" s="139">
        <f>IF(N88="základní",J88,0)</f>
        <v>0</v>
      </c>
      <c r="BF88" s="139">
        <f>IF(N88="snížená",J88,0)</f>
        <v>0</v>
      </c>
      <c r="BG88" s="139">
        <f>IF(N88="zákl. přenesená",J88,0)</f>
        <v>0</v>
      </c>
      <c r="BH88" s="139">
        <f>IF(N88="sníž. přenesená",J88,0)</f>
        <v>0</v>
      </c>
      <c r="BI88" s="139">
        <f>IF(N88="nulová",J88,0)</f>
        <v>0</v>
      </c>
      <c r="BJ88" s="17" t="s">
        <v>75</v>
      </c>
      <c r="BK88" s="139">
        <f>ROUND(I88*H88,2)</f>
        <v>0</v>
      </c>
      <c r="BL88" s="17" t="s">
        <v>110</v>
      </c>
      <c r="BM88" s="138" t="s">
        <v>163</v>
      </c>
    </row>
    <row r="89" spans="2:65" s="1" customFormat="1" ht="16.5" customHeight="1" x14ac:dyDescent="0.2">
      <c r="B89" s="32"/>
      <c r="C89" s="127">
        <v>6</v>
      </c>
      <c r="D89" s="127" t="s">
        <v>108</v>
      </c>
      <c r="E89" s="128" t="s">
        <v>164</v>
      </c>
      <c r="F89" s="129" t="s">
        <v>165</v>
      </c>
      <c r="G89" s="130" t="s">
        <v>159</v>
      </c>
      <c r="H89" s="131">
        <v>1</v>
      </c>
      <c r="I89" s="132"/>
      <c r="J89" s="133">
        <f>ROUND(I89*H89,2)</f>
        <v>0</v>
      </c>
      <c r="K89" s="129" t="s">
        <v>412</v>
      </c>
      <c r="L89" s="32"/>
      <c r="M89" s="134"/>
      <c r="N89" s="135"/>
      <c r="P89" s="136"/>
      <c r="Q89" s="136"/>
      <c r="R89" s="136"/>
      <c r="S89" s="136"/>
      <c r="T89" s="137"/>
      <c r="AR89" s="138"/>
      <c r="AT89" s="138"/>
      <c r="AU89" s="138"/>
      <c r="AY89" s="17"/>
      <c r="BE89" s="139"/>
      <c r="BF89" s="139"/>
      <c r="BG89" s="139"/>
      <c r="BH89" s="139"/>
      <c r="BI89" s="139"/>
      <c r="BJ89" s="17"/>
      <c r="BK89" s="139"/>
      <c r="BL89" s="17"/>
      <c r="BM89" s="138"/>
    </row>
    <row r="90" spans="2:65" s="1" customFormat="1" ht="16.5" customHeight="1" x14ac:dyDescent="0.2">
      <c r="B90" s="32"/>
      <c r="C90" s="127">
        <v>7</v>
      </c>
      <c r="D90" s="127" t="s">
        <v>108</v>
      </c>
      <c r="E90" s="128" t="s">
        <v>369</v>
      </c>
      <c r="F90" s="129" t="s">
        <v>370</v>
      </c>
      <c r="G90" s="130" t="s">
        <v>159</v>
      </c>
      <c r="H90" s="131">
        <v>1</v>
      </c>
      <c r="I90" s="132"/>
      <c r="J90" s="133">
        <f>ROUND(I90*H90,2)</f>
        <v>0</v>
      </c>
      <c r="K90" s="129" t="s">
        <v>412</v>
      </c>
      <c r="L90" s="32"/>
      <c r="M90" s="178" t="s">
        <v>18</v>
      </c>
      <c r="N90" s="179" t="s">
        <v>38</v>
      </c>
      <c r="O90" s="176"/>
      <c r="P90" s="180">
        <f>O90*H90</f>
        <v>0</v>
      </c>
      <c r="Q90" s="180">
        <v>0</v>
      </c>
      <c r="R90" s="180">
        <f>Q90*H90</f>
        <v>0</v>
      </c>
      <c r="S90" s="180">
        <v>0</v>
      </c>
      <c r="T90" s="181">
        <f>S90*H90</f>
        <v>0</v>
      </c>
      <c r="AR90" s="138" t="s">
        <v>110</v>
      </c>
      <c r="AT90" s="138" t="s">
        <v>108</v>
      </c>
      <c r="AU90" s="138" t="s">
        <v>75</v>
      </c>
      <c r="AY90" s="17" t="s">
        <v>106</v>
      </c>
      <c r="BE90" s="139">
        <f>IF(N90="základní",J90,0)</f>
        <v>0</v>
      </c>
      <c r="BF90" s="139">
        <f>IF(N90="snížená",J90,0)</f>
        <v>0</v>
      </c>
      <c r="BG90" s="139">
        <f>IF(N90="zákl. přenesená",J90,0)</f>
        <v>0</v>
      </c>
      <c r="BH90" s="139">
        <f>IF(N90="sníž. přenesená",J90,0)</f>
        <v>0</v>
      </c>
      <c r="BI90" s="139">
        <f>IF(N90="nulová",J90,0)</f>
        <v>0</v>
      </c>
      <c r="BJ90" s="17" t="s">
        <v>75</v>
      </c>
      <c r="BK90" s="139">
        <f>ROUND(I90*H90,2)</f>
        <v>0</v>
      </c>
      <c r="BL90" s="17" t="s">
        <v>110</v>
      </c>
      <c r="BM90" s="138" t="s">
        <v>166</v>
      </c>
    </row>
    <row r="91" spans="2:65" s="1" customFormat="1" ht="6.95" customHeight="1" x14ac:dyDescent="0.2"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32"/>
    </row>
  </sheetData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honeticPr fontId="0" type="noConversion"/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8"/>
  <sheetViews>
    <sheetView showGridLines="0" topLeftCell="A225" zoomScale="110" zoomScaleNormal="110" workbookViewId="0">
      <selection activeCell="F22" sqref="F22:J22"/>
    </sheetView>
  </sheetViews>
  <sheetFormatPr defaultRowHeight="11.25" x14ac:dyDescent="0.2"/>
  <cols>
    <col min="1" max="1" width="8.33203125" style="182" customWidth="1"/>
    <col min="2" max="2" width="1.6640625" style="182" customWidth="1"/>
    <col min="3" max="4" width="5" style="182" customWidth="1"/>
    <col min="5" max="5" width="11.5" style="182" customWidth="1"/>
    <col min="6" max="6" width="9.1640625" style="182" customWidth="1"/>
    <col min="7" max="7" width="5" style="182" customWidth="1"/>
    <col min="8" max="8" width="77.83203125" style="182" customWidth="1"/>
    <col min="9" max="10" width="20" style="182" customWidth="1"/>
    <col min="11" max="11" width="1.6640625" style="182" customWidth="1"/>
  </cols>
  <sheetData>
    <row r="1" spans="2:11" customFormat="1" ht="37.5" customHeight="1" x14ac:dyDescent="0.2"/>
    <row r="2" spans="2:11" customFormat="1" ht="7.5" customHeight="1" x14ac:dyDescent="0.2">
      <c r="B2" s="183"/>
      <c r="C2" s="184"/>
      <c r="D2" s="184"/>
      <c r="E2" s="184"/>
      <c r="F2" s="184"/>
      <c r="G2" s="184"/>
      <c r="H2" s="184"/>
      <c r="I2" s="184"/>
      <c r="J2" s="184"/>
      <c r="K2" s="185"/>
    </row>
    <row r="3" spans="2:11" s="15" customFormat="1" ht="45" customHeight="1" x14ac:dyDescent="0.2">
      <c r="B3" s="186"/>
      <c r="C3" s="329" t="s">
        <v>167</v>
      </c>
      <c r="D3" s="329"/>
      <c r="E3" s="329"/>
      <c r="F3" s="329"/>
      <c r="G3" s="329"/>
      <c r="H3" s="329"/>
      <c r="I3" s="329"/>
      <c r="J3" s="329"/>
      <c r="K3" s="187"/>
    </row>
    <row r="4" spans="2:11" customFormat="1" ht="25.5" customHeight="1" x14ac:dyDescent="0.3">
      <c r="B4" s="188"/>
      <c r="C4" s="330" t="s">
        <v>168</v>
      </c>
      <c r="D4" s="330"/>
      <c r="E4" s="330"/>
      <c r="F4" s="330"/>
      <c r="G4" s="330"/>
      <c r="H4" s="330"/>
      <c r="I4" s="330"/>
      <c r="J4" s="330"/>
      <c r="K4" s="189"/>
    </row>
    <row r="5" spans="2:11" customFormat="1" ht="5.25" customHeight="1" x14ac:dyDescent="0.2">
      <c r="B5" s="188"/>
      <c r="C5" s="190"/>
      <c r="D5" s="190"/>
      <c r="E5" s="190"/>
      <c r="F5" s="190"/>
      <c r="G5" s="190"/>
      <c r="H5" s="190"/>
      <c r="I5" s="190"/>
      <c r="J5" s="190"/>
      <c r="K5" s="189"/>
    </row>
    <row r="6" spans="2:11" customFormat="1" ht="15" customHeight="1" x14ac:dyDescent="0.2">
      <c r="B6" s="188"/>
      <c r="C6" s="328" t="s">
        <v>169</v>
      </c>
      <c r="D6" s="328"/>
      <c r="E6" s="328"/>
      <c r="F6" s="328"/>
      <c r="G6" s="328"/>
      <c r="H6" s="328"/>
      <c r="I6" s="328"/>
      <c r="J6" s="328"/>
      <c r="K6" s="189"/>
    </row>
    <row r="7" spans="2:11" customFormat="1" ht="15" customHeight="1" x14ac:dyDescent="0.2">
      <c r="B7" s="192"/>
      <c r="C7" s="328" t="s">
        <v>170</v>
      </c>
      <c r="D7" s="328"/>
      <c r="E7" s="328"/>
      <c r="F7" s="328"/>
      <c r="G7" s="328"/>
      <c r="H7" s="328"/>
      <c r="I7" s="328"/>
      <c r="J7" s="328"/>
      <c r="K7" s="189"/>
    </row>
    <row r="8" spans="2:11" customFormat="1" ht="12.75" customHeight="1" x14ac:dyDescent="0.2">
      <c r="B8" s="192"/>
      <c r="C8" s="191"/>
      <c r="D8" s="191"/>
      <c r="E8" s="191"/>
      <c r="F8" s="191"/>
      <c r="G8" s="191"/>
      <c r="H8" s="191"/>
      <c r="I8" s="191"/>
      <c r="J8" s="191"/>
      <c r="K8" s="189"/>
    </row>
    <row r="9" spans="2:11" customFormat="1" ht="15" customHeight="1" x14ac:dyDescent="0.2">
      <c r="B9" s="192"/>
      <c r="C9" s="328" t="s">
        <v>171</v>
      </c>
      <c r="D9" s="328"/>
      <c r="E9" s="328"/>
      <c r="F9" s="328"/>
      <c r="G9" s="328"/>
      <c r="H9" s="328"/>
      <c r="I9" s="328"/>
      <c r="J9" s="328"/>
      <c r="K9" s="189"/>
    </row>
    <row r="10" spans="2:11" customFormat="1" ht="15" customHeight="1" x14ac:dyDescent="0.2">
      <c r="B10" s="192"/>
      <c r="C10" s="191"/>
      <c r="D10" s="328" t="s">
        <v>172</v>
      </c>
      <c r="E10" s="328"/>
      <c r="F10" s="328"/>
      <c r="G10" s="328"/>
      <c r="H10" s="328"/>
      <c r="I10" s="328"/>
      <c r="J10" s="328"/>
      <c r="K10" s="189"/>
    </row>
    <row r="11" spans="2:11" customFormat="1" ht="15" customHeight="1" x14ac:dyDescent="0.2">
      <c r="B11" s="192"/>
      <c r="C11" s="193"/>
      <c r="D11" s="328" t="s">
        <v>173</v>
      </c>
      <c r="E11" s="328"/>
      <c r="F11" s="328"/>
      <c r="G11" s="328"/>
      <c r="H11" s="328"/>
      <c r="I11" s="328"/>
      <c r="J11" s="328"/>
      <c r="K11" s="189"/>
    </row>
    <row r="12" spans="2:11" customFormat="1" ht="15" customHeight="1" x14ac:dyDescent="0.2">
      <c r="B12" s="192"/>
      <c r="C12" s="193"/>
      <c r="D12" s="191"/>
      <c r="E12" s="191"/>
      <c r="F12" s="191"/>
      <c r="G12" s="191"/>
      <c r="H12" s="191"/>
      <c r="I12" s="191"/>
      <c r="J12" s="191"/>
      <c r="K12" s="189"/>
    </row>
    <row r="13" spans="2:11" customFormat="1" ht="15" customHeight="1" x14ac:dyDescent="0.2">
      <c r="B13" s="192"/>
      <c r="C13" s="193"/>
      <c r="D13" s="194" t="s">
        <v>174</v>
      </c>
      <c r="E13" s="191"/>
      <c r="F13" s="191"/>
      <c r="G13" s="191"/>
      <c r="H13" s="191"/>
      <c r="I13" s="191"/>
      <c r="J13" s="191"/>
      <c r="K13" s="189"/>
    </row>
    <row r="14" spans="2:11" customFormat="1" ht="12.75" customHeight="1" x14ac:dyDescent="0.2">
      <c r="B14" s="192"/>
      <c r="C14" s="193"/>
      <c r="D14" s="193"/>
      <c r="E14" s="193"/>
      <c r="F14" s="193"/>
      <c r="G14" s="193"/>
      <c r="H14" s="193"/>
      <c r="I14" s="193"/>
      <c r="J14" s="193"/>
      <c r="K14" s="189"/>
    </row>
    <row r="15" spans="2:11" customFormat="1" ht="15" customHeight="1" x14ac:dyDescent="0.2">
      <c r="B15" s="192"/>
      <c r="C15" s="193"/>
      <c r="D15" s="328" t="s">
        <v>175</v>
      </c>
      <c r="E15" s="328"/>
      <c r="F15" s="328"/>
      <c r="G15" s="328"/>
      <c r="H15" s="328"/>
      <c r="I15" s="328"/>
      <c r="J15" s="328"/>
      <c r="K15" s="189"/>
    </row>
    <row r="16" spans="2:11" customFormat="1" ht="15" customHeight="1" x14ac:dyDescent="0.2">
      <c r="B16" s="192"/>
      <c r="C16" s="193"/>
      <c r="D16" s="328" t="s">
        <v>176</v>
      </c>
      <c r="E16" s="328"/>
      <c r="F16" s="328"/>
      <c r="G16" s="328"/>
      <c r="H16" s="328"/>
      <c r="I16" s="328"/>
      <c r="J16" s="328"/>
      <c r="K16" s="189"/>
    </row>
    <row r="17" spans="2:11" customFormat="1" ht="15" customHeight="1" x14ac:dyDescent="0.2">
      <c r="B17" s="192"/>
      <c r="C17" s="193"/>
      <c r="D17" s="328" t="s">
        <v>177</v>
      </c>
      <c r="E17" s="328"/>
      <c r="F17" s="328"/>
      <c r="G17" s="328"/>
      <c r="H17" s="328"/>
      <c r="I17" s="328"/>
      <c r="J17" s="328"/>
      <c r="K17" s="189"/>
    </row>
    <row r="18" spans="2:11" customFormat="1" ht="15" customHeight="1" x14ac:dyDescent="0.2">
      <c r="B18" s="192"/>
      <c r="C18" s="193"/>
      <c r="D18" s="193"/>
      <c r="E18" s="195" t="s">
        <v>74</v>
      </c>
      <c r="F18" s="328" t="s">
        <v>178</v>
      </c>
      <c r="G18" s="328"/>
      <c r="H18" s="328"/>
      <c r="I18" s="328"/>
      <c r="J18" s="328"/>
      <c r="K18" s="189"/>
    </row>
    <row r="19" spans="2:11" customFormat="1" ht="15" customHeight="1" x14ac:dyDescent="0.2">
      <c r="B19" s="192"/>
      <c r="C19" s="193"/>
      <c r="D19" s="193"/>
      <c r="E19" s="195" t="s">
        <v>179</v>
      </c>
      <c r="F19" s="328" t="s">
        <v>180</v>
      </c>
      <c r="G19" s="328"/>
      <c r="H19" s="328"/>
      <c r="I19" s="328"/>
      <c r="J19" s="328"/>
      <c r="K19" s="189"/>
    </row>
    <row r="20" spans="2:11" customFormat="1" ht="15" customHeight="1" x14ac:dyDescent="0.2">
      <c r="B20" s="192"/>
      <c r="C20" s="193"/>
      <c r="D20" s="193"/>
      <c r="E20" s="195" t="s">
        <v>181</v>
      </c>
      <c r="F20" s="328" t="s">
        <v>182</v>
      </c>
      <c r="G20" s="328"/>
      <c r="H20" s="328"/>
      <c r="I20" s="328"/>
      <c r="J20" s="328"/>
      <c r="K20" s="189"/>
    </row>
    <row r="21" spans="2:11" customFormat="1" ht="15" customHeight="1" x14ac:dyDescent="0.2">
      <c r="B21" s="192"/>
      <c r="C21" s="193"/>
      <c r="D21" s="193"/>
      <c r="E21" s="195" t="s">
        <v>183</v>
      </c>
      <c r="F21" s="328" t="s">
        <v>184</v>
      </c>
      <c r="G21" s="328"/>
      <c r="H21" s="328"/>
      <c r="I21" s="328"/>
      <c r="J21" s="328"/>
      <c r="K21" s="189"/>
    </row>
    <row r="22" spans="2:11" customFormat="1" ht="15" customHeight="1" x14ac:dyDescent="0.2">
      <c r="B22" s="192"/>
      <c r="C22" s="193"/>
      <c r="D22" s="193"/>
      <c r="E22" s="195" t="s">
        <v>185</v>
      </c>
      <c r="F22" s="328" t="s">
        <v>186</v>
      </c>
      <c r="G22" s="328"/>
      <c r="H22" s="328"/>
      <c r="I22" s="328"/>
      <c r="J22" s="328"/>
      <c r="K22" s="189"/>
    </row>
    <row r="23" spans="2:11" customFormat="1" ht="15" customHeight="1" x14ac:dyDescent="0.2">
      <c r="B23" s="192"/>
      <c r="C23" s="193"/>
      <c r="D23" s="193"/>
      <c r="E23" s="195" t="s">
        <v>187</v>
      </c>
      <c r="F23" s="328" t="s">
        <v>188</v>
      </c>
      <c r="G23" s="328"/>
      <c r="H23" s="328"/>
      <c r="I23" s="328"/>
      <c r="J23" s="328"/>
      <c r="K23" s="189"/>
    </row>
    <row r="24" spans="2:11" customFormat="1" ht="12.75" customHeight="1" x14ac:dyDescent="0.2">
      <c r="B24" s="192"/>
      <c r="C24" s="193"/>
      <c r="D24" s="193"/>
      <c r="E24" s="193"/>
      <c r="F24" s="193"/>
      <c r="G24" s="193"/>
      <c r="H24" s="193"/>
      <c r="I24" s="193"/>
      <c r="J24" s="193"/>
      <c r="K24" s="189"/>
    </row>
    <row r="25" spans="2:11" customFormat="1" ht="15" customHeight="1" x14ac:dyDescent="0.2">
      <c r="B25" s="192"/>
      <c r="C25" s="328" t="s">
        <v>189</v>
      </c>
      <c r="D25" s="328"/>
      <c r="E25" s="328"/>
      <c r="F25" s="328"/>
      <c r="G25" s="328"/>
      <c r="H25" s="328"/>
      <c r="I25" s="328"/>
      <c r="J25" s="328"/>
      <c r="K25" s="189"/>
    </row>
    <row r="26" spans="2:11" customFormat="1" ht="15" customHeight="1" x14ac:dyDescent="0.2">
      <c r="B26" s="192"/>
      <c r="C26" s="328" t="s">
        <v>190</v>
      </c>
      <c r="D26" s="328"/>
      <c r="E26" s="328"/>
      <c r="F26" s="328"/>
      <c r="G26" s="328"/>
      <c r="H26" s="328"/>
      <c r="I26" s="328"/>
      <c r="J26" s="328"/>
      <c r="K26" s="189"/>
    </row>
    <row r="27" spans="2:11" customFormat="1" ht="15" customHeight="1" x14ac:dyDescent="0.2">
      <c r="B27" s="192"/>
      <c r="C27" s="191"/>
      <c r="D27" s="328" t="s">
        <v>191</v>
      </c>
      <c r="E27" s="328"/>
      <c r="F27" s="328"/>
      <c r="G27" s="328"/>
      <c r="H27" s="328"/>
      <c r="I27" s="328"/>
      <c r="J27" s="328"/>
      <c r="K27" s="189"/>
    </row>
    <row r="28" spans="2:11" customFormat="1" ht="15" customHeight="1" x14ac:dyDescent="0.2">
      <c r="B28" s="192"/>
      <c r="C28" s="193"/>
      <c r="D28" s="328" t="s">
        <v>192</v>
      </c>
      <c r="E28" s="328"/>
      <c r="F28" s="328"/>
      <c r="G28" s="328"/>
      <c r="H28" s="328"/>
      <c r="I28" s="328"/>
      <c r="J28" s="328"/>
      <c r="K28" s="189"/>
    </row>
    <row r="29" spans="2:11" customFormat="1" ht="12.75" customHeight="1" x14ac:dyDescent="0.2">
      <c r="B29" s="192"/>
      <c r="C29" s="193"/>
      <c r="D29" s="193"/>
      <c r="E29" s="193"/>
      <c r="F29" s="193"/>
      <c r="G29" s="193"/>
      <c r="H29" s="193"/>
      <c r="I29" s="193"/>
      <c r="J29" s="193"/>
      <c r="K29" s="189"/>
    </row>
    <row r="30" spans="2:11" customFormat="1" ht="15" customHeight="1" x14ac:dyDescent="0.2">
      <c r="B30" s="192"/>
      <c r="C30" s="193"/>
      <c r="D30" s="328" t="s">
        <v>193</v>
      </c>
      <c r="E30" s="328"/>
      <c r="F30" s="328"/>
      <c r="G30" s="328"/>
      <c r="H30" s="328"/>
      <c r="I30" s="328"/>
      <c r="J30" s="328"/>
      <c r="K30" s="189"/>
    </row>
    <row r="31" spans="2:11" customFormat="1" ht="15" customHeight="1" x14ac:dyDescent="0.2">
      <c r="B31" s="192"/>
      <c r="C31" s="193"/>
      <c r="D31" s="328" t="s">
        <v>194</v>
      </c>
      <c r="E31" s="328"/>
      <c r="F31" s="328"/>
      <c r="G31" s="328"/>
      <c r="H31" s="328"/>
      <c r="I31" s="328"/>
      <c r="J31" s="328"/>
      <c r="K31" s="189"/>
    </row>
    <row r="32" spans="2:11" customFormat="1" ht="12.75" customHeight="1" x14ac:dyDescent="0.2">
      <c r="B32" s="192"/>
      <c r="C32" s="193"/>
      <c r="D32" s="193"/>
      <c r="E32" s="193"/>
      <c r="F32" s="193"/>
      <c r="G32" s="193"/>
      <c r="H32" s="193"/>
      <c r="I32" s="193"/>
      <c r="J32" s="193"/>
      <c r="K32" s="189"/>
    </row>
    <row r="33" spans="2:11" customFormat="1" ht="15" customHeight="1" x14ac:dyDescent="0.2">
      <c r="B33" s="192"/>
      <c r="C33" s="193"/>
      <c r="D33" s="328" t="s">
        <v>195</v>
      </c>
      <c r="E33" s="328"/>
      <c r="F33" s="328"/>
      <c r="G33" s="328"/>
      <c r="H33" s="328"/>
      <c r="I33" s="328"/>
      <c r="J33" s="328"/>
      <c r="K33" s="189"/>
    </row>
    <row r="34" spans="2:11" customFormat="1" ht="15" customHeight="1" x14ac:dyDescent="0.2">
      <c r="B34" s="192"/>
      <c r="C34" s="193"/>
      <c r="D34" s="328" t="s">
        <v>196</v>
      </c>
      <c r="E34" s="328"/>
      <c r="F34" s="328"/>
      <c r="G34" s="328"/>
      <c r="H34" s="328"/>
      <c r="I34" s="328"/>
      <c r="J34" s="328"/>
      <c r="K34" s="189"/>
    </row>
    <row r="35" spans="2:11" customFormat="1" ht="15" customHeight="1" x14ac:dyDescent="0.2">
      <c r="B35" s="192"/>
      <c r="C35" s="193"/>
      <c r="D35" s="328" t="s">
        <v>197</v>
      </c>
      <c r="E35" s="328"/>
      <c r="F35" s="328"/>
      <c r="G35" s="328"/>
      <c r="H35" s="328"/>
      <c r="I35" s="328"/>
      <c r="J35" s="328"/>
      <c r="K35" s="189"/>
    </row>
    <row r="36" spans="2:11" customFormat="1" ht="15" customHeight="1" x14ac:dyDescent="0.2">
      <c r="B36" s="192"/>
      <c r="C36" s="193"/>
      <c r="D36" s="191"/>
      <c r="E36" s="194" t="s">
        <v>94</v>
      </c>
      <c r="F36" s="191"/>
      <c r="G36" s="328" t="s">
        <v>198</v>
      </c>
      <c r="H36" s="328"/>
      <c r="I36" s="328"/>
      <c r="J36" s="328"/>
      <c r="K36" s="189"/>
    </row>
    <row r="37" spans="2:11" customFormat="1" ht="30.75" customHeight="1" x14ac:dyDescent="0.2">
      <c r="B37" s="192"/>
      <c r="C37" s="193"/>
      <c r="D37" s="191"/>
      <c r="E37" s="194" t="s">
        <v>199</v>
      </c>
      <c r="F37" s="191"/>
      <c r="G37" s="328" t="s">
        <v>200</v>
      </c>
      <c r="H37" s="328"/>
      <c r="I37" s="328"/>
      <c r="J37" s="328"/>
      <c r="K37" s="189"/>
    </row>
    <row r="38" spans="2:11" customFormat="1" ht="15" customHeight="1" x14ac:dyDescent="0.2">
      <c r="B38" s="192"/>
      <c r="C38" s="193"/>
      <c r="D38" s="191"/>
      <c r="E38" s="194" t="s">
        <v>48</v>
      </c>
      <c r="F38" s="191"/>
      <c r="G38" s="328" t="s">
        <v>201</v>
      </c>
      <c r="H38" s="328"/>
      <c r="I38" s="328"/>
      <c r="J38" s="328"/>
      <c r="K38" s="189"/>
    </row>
    <row r="39" spans="2:11" customFormat="1" ht="15" customHeight="1" x14ac:dyDescent="0.2">
      <c r="B39" s="192"/>
      <c r="C39" s="193"/>
      <c r="D39" s="191"/>
      <c r="E39" s="194" t="s">
        <v>49</v>
      </c>
      <c r="F39" s="191"/>
      <c r="G39" s="328" t="s">
        <v>202</v>
      </c>
      <c r="H39" s="328"/>
      <c r="I39" s="328"/>
      <c r="J39" s="328"/>
      <c r="K39" s="189"/>
    </row>
    <row r="40" spans="2:11" customFormat="1" ht="15" customHeight="1" x14ac:dyDescent="0.2">
      <c r="B40" s="192"/>
      <c r="C40" s="193"/>
      <c r="D40" s="191"/>
      <c r="E40" s="194" t="s">
        <v>95</v>
      </c>
      <c r="F40" s="191"/>
      <c r="G40" s="328" t="s">
        <v>203</v>
      </c>
      <c r="H40" s="328"/>
      <c r="I40" s="328"/>
      <c r="J40" s="328"/>
      <c r="K40" s="189"/>
    </row>
    <row r="41" spans="2:11" customFormat="1" ht="15" customHeight="1" x14ac:dyDescent="0.2">
      <c r="B41" s="192"/>
      <c r="C41" s="193"/>
      <c r="D41" s="191"/>
      <c r="E41" s="194" t="s">
        <v>96</v>
      </c>
      <c r="F41" s="191"/>
      <c r="G41" s="328" t="s">
        <v>204</v>
      </c>
      <c r="H41" s="328"/>
      <c r="I41" s="328"/>
      <c r="J41" s="328"/>
      <c r="K41" s="189"/>
    </row>
    <row r="42" spans="2:11" customFormat="1" ht="15" customHeight="1" x14ac:dyDescent="0.2">
      <c r="B42" s="192"/>
      <c r="C42" s="193"/>
      <c r="D42" s="191"/>
      <c r="E42" s="194" t="s">
        <v>205</v>
      </c>
      <c r="F42" s="191"/>
      <c r="G42" s="328" t="s">
        <v>206</v>
      </c>
      <c r="H42" s="328"/>
      <c r="I42" s="328"/>
      <c r="J42" s="328"/>
      <c r="K42" s="189"/>
    </row>
    <row r="43" spans="2:11" customFormat="1" ht="15" customHeight="1" x14ac:dyDescent="0.2">
      <c r="B43" s="192"/>
      <c r="C43" s="193"/>
      <c r="D43" s="191"/>
      <c r="E43" s="194"/>
      <c r="F43" s="191"/>
      <c r="G43" s="328" t="s">
        <v>207</v>
      </c>
      <c r="H43" s="328"/>
      <c r="I43" s="328"/>
      <c r="J43" s="328"/>
      <c r="K43" s="189"/>
    </row>
    <row r="44" spans="2:11" customFormat="1" ht="15" customHeight="1" x14ac:dyDescent="0.2">
      <c r="B44" s="192"/>
      <c r="C44" s="193"/>
      <c r="D44" s="191"/>
      <c r="E44" s="194" t="s">
        <v>208</v>
      </c>
      <c r="F44" s="191"/>
      <c r="G44" s="328" t="s">
        <v>209</v>
      </c>
      <c r="H44" s="328"/>
      <c r="I44" s="328"/>
      <c r="J44" s="328"/>
      <c r="K44" s="189"/>
    </row>
    <row r="45" spans="2:11" customFormat="1" ht="15" customHeight="1" x14ac:dyDescent="0.2">
      <c r="B45" s="192"/>
      <c r="C45" s="193"/>
      <c r="D45" s="191"/>
      <c r="E45" s="194" t="s">
        <v>98</v>
      </c>
      <c r="F45" s="191"/>
      <c r="G45" s="328" t="s">
        <v>210</v>
      </c>
      <c r="H45" s="328"/>
      <c r="I45" s="328"/>
      <c r="J45" s="328"/>
      <c r="K45" s="189"/>
    </row>
    <row r="46" spans="2:11" customFormat="1" ht="12.75" customHeight="1" x14ac:dyDescent="0.2">
      <c r="B46" s="192"/>
      <c r="C46" s="193"/>
      <c r="D46" s="191"/>
      <c r="E46" s="191"/>
      <c r="F46" s="191"/>
      <c r="G46" s="191"/>
      <c r="H46" s="191"/>
      <c r="I46" s="191"/>
      <c r="J46" s="191"/>
      <c r="K46" s="189"/>
    </row>
    <row r="47" spans="2:11" customFormat="1" ht="15" customHeight="1" x14ac:dyDescent="0.2">
      <c r="B47" s="192"/>
      <c r="C47" s="193"/>
      <c r="D47" s="328" t="s">
        <v>211</v>
      </c>
      <c r="E47" s="328"/>
      <c r="F47" s="328"/>
      <c r="G47" s="328"/>
      <c r="H47" s="328"/>
      <c r="I47" s="328"/>
      <c r="J47" s="328"/>
      <c r="K47" s="189"/>
    </row>
    <row r="48" spans="2:11" customFormat="1" ht="15" customHeight="1" x14ac:dyDescent="0.2">
      <c r="B48" s="192"/>
      <c r="C48" s="193"/>
      <c r="D48" s="193"/>
      <c r="E48" s="328" t="s">
        <v>212</v>
      </c>
      <c r="F48" s="328"/>
      <c r="G48" s="328"/>
      <c r="H48" s="328"/>
      <c r="I48" s="328"/>
      <c r="J48" s="328"/>
      <c r="K48" s="189"/>
    </row>
    <row r="49" spans="2:11" customFormat="1" ht="15" customHeight="1" x14ac:dyDescent="0.2">
      <c r="B49" s="192"/>
      <c r="C49" s="193"/>
      <c r="D49" s="193"/>
      <c r="E49" s="328" t="s">
        <v>213</v>
      </c>
      <c r="F49" s="328"/>
      <c r="G49" s="328"/>
      <c r="H49" s="328"/>
      <c r="I49" s="328"/>
      <c r="J49" s="328"/>
      <c r="K49" s="189"/>
    </row>
    <row r="50" spans="2:11" customFormat="1" ht="15" customHeight="1" x14ac:dyDescent="0.2">
      <c r="B50" s="192"/>
      <c r="C50" s="193"/>
      <c r="D50" s="193"/>
      <c r="E50" s="328" t="s">
        <v>214</v>
      </c>
      <c r="F50" s="328"/>
      <c r="G50" s="328"/>
      <c r="H50" s="328"/>
      <c r="I50" s="328"/>
      <c r="J50" s="328"/>
      <c r="K50" s="189"/>
    </row>
    <row r="51" spans="2:11" customFormat="1" ht="15" customHeight="1" x14ac:dyDescent="0.2">
      <c r="B51" s="192"/>
      <c r="C51" s="193"/>
      <c r="D51" s="328" t="s">
        <v>215</v>
      </c>
      <c r="E51" s="328"/>
      <c r="F51" s="328"/>
      <c r="G51" s="328"/>
      <c r="H51" s="328"/>
      <c r="I51" s="328"/>
      <c r="J51" s="328"/>
      <c r="K51" s="189"/>
    </row>
    <row r="52" spans="2:11" customFormat="1" ht="25.5" customHeight="1" x14ac:dyDescent="0.3">
      <c r="B52" s="188"/>
      <c r="C52" s="330" t="s">
        <v>216</v>
      </c>
      <c r="D52" s="330"/>
      <c r="E52" s="330"/>
      <c r="F52" s="330"/>
      <c r="G52" s="330"/>
      <c r="H52" s="330"/>
      <c r="I52" s="330"/>
      <c r="J52" s="330"/>
      <c r="K52" s="189"/>
    </row>
    <row r="53" spans="2:11" customFormat="1" ht="5.25" customHeight="1" x14ac:dyDescent="0.2">
      <c r="B53" s="188"/>
      <c r="C53" s="190"/>
      <c r="D53" s="190"/>
      <c r="E53" s="190"/>
      <c r="F53" s="190"/>
      <c r="G53" s="190"/>
      <c r="H53" s="190"/>
      <c r="I53" s="190"/>
      <c r="J53" s="190"/>
      <c r="K53" s="189"/>
    </row>
    <row r="54" spans="2:11" customFormat="1" ht="15" customHeight="1" x14ac:dyDescent="0.2">
      <c r="B54" s="188"/>
      <c r="C54" s="328" t="s">
        <v>217</v>
      </c>
      <c r="D54" s="328"/>
      <c r="E54" s="328"/>
      <c r="F54" s="328"/>
      <c r="G54" s="328"/>
      <c r="H54" s="328"/>
      <c r="I54" s="328"/>
      <c r="J54" s="328"/>
      <c r="K54" s="189"/>
    </row>
    <row r="55" spans="2:11" customFormat="1" ht="15" customHeight="1" x14ac:dyDescent="0.2">
      <c r="B55" s="188"/>
      <c r="C55" s="328" t="s">
        <v>218</v>
      </c>
      <c r="D55" s="328"/>
      <c r="E55" s="328"/>
      <c r="F55" s="328"/>
      <c r="G55" s="328"/>
      <c r="H55" s="328"/>
      <c r="I55" s="328"/>
      <c r="J55" s="328"/>
      <c r="K55" s="189"/>
    </row>
    <row r="56" spans="2:11" customFormat="1" ht="12.75" customHeight="1" x14ac:dyDescent="0.2">
      <c r="B56" s="188"/>
      <c r="C56" s="191"/>
      <c r="D56" s="191"/>
      <c r="E56" s="191"/>
      <c r="F56" s="191"/>
      <c r="G56" s="191"/>
      <c r="H56" s="191"/>
      <c r="I56" s="191"/>
      <c r="J56" s="191"/>
      <c r="K56" s="189"/>
    </row>
    <row r="57" spans="2:11" customFormat="1" ht="15" customHeight="1" x14ac:dyDescent="0.2">
      <c r="B57" s="188"/>
      <c r="C57" s="328" t="s">
        <v>219</v>
      </c>
      <c r="D57" s="328"/>
      <c r="E57" s="328"/>
      <c r="F57" s="328"/>
      <c r="G57" s="328"/>
      <c r="H57" s="328"/>
      <c r="I57" s="328"/>
      <c r="J57" s="328"/>
      <c r="K57" s="189"/>
    </row>
    <row r="58" spans="2:11" customFormat="1" ht="15" customHeight="1" x14ac:dyDescent="0.2">
      <c r="B58" s="188"/>
      <c r="C58" s="193"/>
      <c r="D58" s="328" t="s">
        <v>220</v>
      </c>
      <c r="E58" s="328"/>
      <c r="F58" s="328"/>
      <c r="G58" s="328"/>
      <c r="H58" s="328"/>
      <c r="I58" s="328"/>
      <c r="J58" s="328"/>
      <c r="K58" s="189"/>
    </row>
    <row r="59" spans="2:11" customFormat="1" ht="15" customHeight="1" x14ac:dyDescent="0.2">
      <c r="B59" s="188"/>
      <c r="C59" s="193"/>
      <c r="D59" s="328" t="s">
        <v>221</v>
      </c>
      <c r="E59" s="328"/>
      <c r="F59" s="328"/>
      <c r="G59" s="328"/>
      <c r="H59" s="328"/>
      <c r="I59" s="328"/>
      <c r="J59" s="328"/>
      <c r="K59" s="189"/>
    </row>
    <row r="60" spans="2:11" customFormat="1" ht="15" customHeight="1" x14ac:dyDescent="0.2">
      <c r="B60" s="188"/>
      <c r="C60" s="193"/>
      <c r="D60" s="328" t="s">
        <v>222</v>
      </c>
      <c r="E60" s="328"/>
      <c r="F60" s="328"/>
      <c r="G60" s="328"/>
      <c r="H60" s="328"/>
      <c r="I60" s="328"/>
      <c r="J60" s="328"/>
      <c r="K60" s="189"/>
    </row>
    <row r="61" spans="2:11" customFormat="1" ht="15" customHeight="1" x14ac:dyDescent="0.2">
      <c r="B61" s="188"/>
      <c r="C61" s="193"/>
      <c r="D61" s="328" t="s">
        <v>223</v>
      </c>
      <c r="E61" s="328"/>
      <c r="F61" s="328"/>
      <c r="G61" s="328"/>
      <c r="H61" s="328"/>
      <c r="I61" s="328"/>
      <c r="J61" s="328"/>
      <c r="K61" s="189"/>
    </row>
    <row r="62" spans="2:11" customFormat="1" ht="15" customHeight="1" x14ac:dyDescent="0.2">
      <c r="B62" s="188"/>
      <c r="C62" s="193"/>
      <c r="D62" s="332" t="s">
        <v>224</v>
      </c>
      <c r="E62" s="332"/>
      <c r="F62" s="332"/>
      <c r="G62" s="332"/>
      <c r="H62" s="332"/>
      <c r="I62" s="332"/>
      <c r="J62" s="332"/>
      <c r="K62" s="189"/>
    </row>
    <row r="63" spans="2:11" customFormat="1" ht="15" customHeight="1" x14ac:dyDescent="0.2">
      <c r="B63" s="188"/>
      <c r="C63" s="193"/>
      <c r="D63" s="328" t="s">
        <v>225</v>
      </c>
      <c r="E63" s="328"/>
      <c r="F63" s="328"/>
      <c r="G63" s="328"/>
      <c r="H63" s="328"/>
      <c r="I63" s="328"/>
      <c r="J63" s="328"/>
      <c r="K63" s="189"/>
    </row>
    <row r="64" spans="2:11" customFormat="1" ht="12.75" customHeight="1" x14ac:dyDescent="0.2">
      <c r="B64" s="188"/>
      <c r="C64" s="193"/>
      <c r="D64" s="193"/>
      <c r="E64" s="196"/>
      <c r="F64" s="193"/>
      <c r="G64" s="193"/>
      <c r="H64" s="193"/>
      <c r="I64" s="193"/>
      <c r="J64" s="193"/>
      <c r="K64" s="189"/>
    </row>
    <row r="65" spans="2:11" customFormat="1" ht="15" customHeight="1" x14ac:dyDescent="0.2">
      <c r="B65" s="188"/>
      <c r="C65" s="193"/>
      <c r="D65" s="328" t="s">
        <v>226</v>
      </c>
      <c r="E65" s="328"/>
      <c r="F65" s="328"/>
      <c r="G65" s="328"/>
      <c r="H65" s="328"/>
      <c r="I65" s="328"/>
      <c r="J65" s="328"/>
      <c r="K65" s="189"/>
    </row>
    <row r="66" spans="2:11" customFormat="1" ht="15" customHeight="1" x14ac:dyDescent="0.2">
      <c r="B66" s="188"/>
      <c r="C66" s="193"/>
      <c r="D66" s="332" t="s">
        <v>227</v>
      </c>
      <c r="E66" s="332"/>
      <c r="F66" s="332"/>
      <c r="G66" s="332"/>
      <c r="H66" s="332"/>
      <c r="I66" s="332"/>
      <c r="J66" s="332"/>
      <c r="K66" s="189"/>
    </row>
    <row r="67" spans="2:11" customFormat="1" ht="15" customHeight="1" x14ac:dyDescent="0.2">
      <c r="B67" s="188"/>
      <c r="C67" s="193"/>
      <c r="D67" s="328" t="s">
        <v>228</v>
      </c>
      <c r="E67" s="328"/>
      <c r="F67" s="328"/>
      <c r="G67" s="328"/>
      <c r="H67" s="328"/>
      <c r="I67" s="328"/>
      <c r="J67" s="328"/>
      <c r="K67" s="189"/>
    </row>
    <row r="68" spans="2:11" customFormat="1" ht="15" customHeight="1" x14ac:dyDescent="0.2">
      <c r="B68" s="188"/>
      <c r="C68" s="193"/>
      <c r="D68" s="328" t="s">
        <v>229</v>
      </c>
      <c r="E68" s="328"/>
      <c r="F68" s="328"/>
      <c r="G68" s="328"/>
      <c r="H68" s="328"/>
      <c r="I68" s="328"/>
      <c r="J68" s="328"/>
      <c r="K68" s="189"/>
    </row>
    <row r="69" spans="2:11" customFormat="1" ht="15" customHeight="1" x14ac:dyDescent="0.2">
      <c r="B69" s="188"/>
      <c r="C69" s="193"/>
      <c r="D69" s="328" t="s">
        <v>230</v>
      </c>
      <c r="E69" s="328"/>
      <c r="F69" s="328"/>
      <c r="G69" s="328"/>
      <c r="H69" s="328"/>
      <c r="I69" s="328"/>
      <c r="J69" s="328"/>
      <c r="K69" s="189"/>
    </row>
    <row r="70" spans="2:11" customFormat="1" ht="15" customHeight="1" x14ac:dyDescent="0.2">
      <c r="B70" s="188"/>
      <c r="C70" s="193"/>
      <c r="D70" s="328" t="s">
        <v>231</v>
      </c>
      <c r="E70" s="328"/>
      <c r="F70" s="328"/>
      <c r="G70" s="328"/>
      <c r="H70" s="328"/>
      <c r="I70" s="328"/>
      <c r="J70" s="328"/>
      <c r="K70" s="189"/>
    </row>
    <row r="71" spans="2:11" customFormat="1" ht="12.75" customHeight="1" x14ac:dyDescent="0.2">
      <c r="B71" s="197"/>
      <c r="C71" s="198"/>
      <c r="D71" s="198"/>
      <c r="E71" s="198"/>
      <c r="F71" s="198"/>
      <c r="G71" s="198"/>
      <c r="H71" s="198"/>
      <c r="I71" s="198"/>
      <c r="J71" s="198"/>
      <c r="K71" s="199"/>
    </row>
    <row r="72" spans="2:11" customFormat="1" ht="18.75" customHeight="1" x14ac:dyDescent="0.2">
      <c r="B72" s="200"/>
      <c r="C72" s="200"/>
      <c r="D72" s="200"/>
      <c r="E72" s="200"/>
      <c r="F72" s="200"/>
      <c r="G72" s="200"/>
      <c r="H72" s="200"/>
      <c r="I72" s="200"/>
      <c r="J72" s="200"/>
      <c r="K72" s="201"/>
    </row>
    <row r="73" spans="2:11" customFormat="1" ht="18.75" customHeight="1" x14ac:dyDescent="0.2">
      <c r="B73" s="201"/>
      <c r="C73" s="201"/>
      <c r="D73" s="201"/>
      <c r="E73" s="201"/>
      <c r="F73" s="201"/>
      <c r="G73" s="201"/>
      <c r="H73" s="201"/>
      <c r="I73" s="201"/>
      <c r="J73" s="201"/>
      <c r="K73" s="201"/>
    </row>
    <row r="74" spans="2:11" customFormat="1" ht="7.5" customHeight="1" x14ac:dyDescent="0.2">
      <c r="B74" s="202"/>
      <c r="C74" s="203"/>
      <c r="D74" s="203"/>
      <c r="E74" s="203"/>
      <c r="F74" s="203"/>
      <c r="G74" s="203"/>
      <c r="H74" s="203"/>
      <c r="I74" s="203"/>
      <c r="J74" s="203"/>
      <c r="K74" s="204"/>
    </row>
    <row r="75" spans="2:11" customFormat="1" ht="45" customHeight="1" x14ac:dyDescent="0.2">
      <c r="B75" s="205"/>
      <c r="C75" s="331" t="s">
        <v>232</v>
      </c>
      <c r="D75" s="331"/>
      <c r="E75" s="331"/>
      <c r="F75" s="331"/>
      <c r="G75" s="331"/>
      <c r="H75" s="331"/>
      <c r="I75" s="331"/>
      <c r="J75" s="331"/>
      <c r="K75" s="206"/>
    </row>
    <row r="76" spans="2:11" customFormat="1" ht="17.25" customHeight="1" x14ac:dyDescent="0.2">
      <c r="B76" s="205"/>
      <c r="C76" s="207" t="s">
        <v>233</v>
      </c>
      <c r="D76" s="207"/>
      <c r="E76" s="207"/>
      <c r="F76" s="207" t="s">
        <v>234</v>
      </c>
      <c r="G76" s="208"/>
      <c r="H76" s="207" t="s">
        <v>49</v>
      </c>
      <c r="I76" s="207" t="s">
        <v>52</v>
      </c>
      <c r="J76" s="207" t="s">
        <v>235</v>
      </c>
      <c r="K76" s="206"/>
    </row>
    <row r="77" spans="2:11" customFormat="1" ht="17.25" customHeight="1" x14ac:dyDescent="0.2">
      <c r="B77" s="205"/>
      <c r="C77" s="209" t="s">
        <v>236</v>
      </c>
      <c r="D77" s="209"/>
      <c r="E77" s="209"/>
      <c r="F77" s="210" t="s">
        <v>237</v>
      </c>
      <c r="G77" s="211"/>
      <c r="H77" s="209"/>
      <c r="I77" s="209"/>
      <c r="J77" s="209" t="s">
        <v>238</v>
      </c>
      <c r="K77" s="206"/>
    </row>
    <row r="78" spans="2:11" customFormat="1" ht="5.25" customHeight="1" x14ac:dyDescent="0.2">
      <c r="B78" s="205"/>
      <c r="C78" s="212"/>
      <c r="D78" s="212"/>
      <c r="E78" s="212"/>
      <c r="F78" s="212"/>
      <c r="G78" s="213"/>
      <c r="H78" s="212"/>
      <c r="I78" s="212"/>
      <c r="J78" s="212"/>
      <c r="K78" s="206"/>
    </row>
    <row r="79" spans="2:11" customFormat="1" ht="15" customHeight="1" x14ac:dyDescent="0.2">
      <c r="B79" s="205"/>
      <c r="C79" s="194" t="s">
        <v>48</v>
      </c>
      <c r="D79" s="214"/>
      <c r="E79" s="214"/>
      <c r="F79" s="215" t="s">
        <v>239</v>
      </c>
      <c r="G79" s="216"/>
      <c r="H79" s="194" t="s">
        <v>240</v>
      </c>
      <c r="I79" s="194" t="s">
        <v>241</v>
      </c>
      <c r="J79" s="194">
        <v>20</v>
      </c>
      <c r="K79" s="206"/>
    </row>
    <row r="80" spans="2:11" customFormat="1" ht="15" customHeight="1" x14ac:dyDescent="0.2">
      <c r="B80" s="205"/>
      <c r="C80" s="194" t="s">
        <v>242</v>
      </c>
      <c r="D80" s="194"/>
      <c r="E80" s="194"/>
      <c r="F80" s="215" t="s">
        <v>239</v>
      </c>
      <c r="G80" s="216"/>
      <c r="H80" s="194" t="s">
        <v>243</v>
      </c>
      <c r="I80" s="194" t="s">
        <v>241</v>
      </c>
      <c r="J80" s="194">
        <v>120</v>
      </c>
      <c r="K80" s="206"/>
    </row>
    <row r="81" spans="2:11" customFormat="1" ht="15" customHeight="1" x14ac:dyDescent="0.2">
      <c r="B81" s="217"/>
      <c r="C81" s="194" t="s">
        <v>244</v>
      </c>
      <c r="D81" s="194"/>
      <c r="E81" s="194"/>
      <c r="F81" s="215" t="s">
        <v>245</v>
      </c>
      <c r="G81" s="216"/>
      <c r="H81" s="194" t="s">
        <v>246</v>
      </c>
      <c r="I81" s="194" t="s">
        <v>241</v>
      </c>
      <c r="J81" s="194">
        <v>50</v>
      </c>
      <c r="K81" s="206"/>
    </row>
    <row r="82" spans="2:11" customFormat="1" ht="15" customHeight="1" x14ac:dyDescent="0.2">
      <c r="B82" s="217"/>
      <c r="C82" s="194" t="s">
        <v>247</v>
      </c>
      <c r="D82" s="194"/>
      <c r="E82" s="194"/>
      <c r="F82" s="215" t="s">
        <v>239</v>
      </c>
      <c r="G82" s="216"/>
      <c r="H82" s="194" t="s">
        <v>248</v>
      </c>
      <c r="I82" s="194" t="s">
        <v>249</v>
      </c>
      <c r="J82" s="194"/>
      <c r="K82" s="206"/>
    </row>
    <row r="83" spans="2:11" customFormat="1" ht="15" customHeight="1" x14ac:dyDescent="0.2">
      <c r="B83" s="217"/>
      <c r="C83" s="194" t="s">
        <v>250</v>
      </c>
      <c r="D83" s="194"/>
      <c r="E83" s="194"/>
      <c r="F83" s="215" t="s">
        <v>245</v>
      </c>
      <c r="G83" s="194"/>
      <c r="H83" s="194" t="s">
        <v>251</v>
      </c>
      <c r="I83" s="194" t="s">
        <v>241</v>
      </c>
      <c r="J83" s="194">
        <v>15</v>
      </c>
      <c r="K83" s="206"/>
    </row>
    <row r="84" spans="2:11" customFormat="1" ht="15" customHeight="1" x14ac:dyDescent="0.2">
      <c r="B84" s="217"/>
      <c r="C84" s="194" t="s">
        <v>252</v>
      </c>
      <c r="D84" s="194"/>
      <c r="E84" s="194"/>
      <c r="F84" s="215" t="s">
        <v>245</v>
      </c>
      <c r="G84" s="194"/>
      <c r="H84" s="194" t="s">
        <v>253</v>
      </c>
      <c r="I84" s="194" t="s">
        <v>241</v>
      </c>
      <c r="J84" s="194">
        <v>15</v>
      </c>
      <c r="K84" s="206"/>
    </row>
    <row r="85" spans="2:11" customFormat="1" ht="15" customHeight="1" x14ac:dyDescent="0.2">
      <c r="B85" s="217"/>
      <c r="C85" s="194" t="s">
        <v>254</v>
      </c>
      <c r="D85" s="194"/>
      <c r="E85" s="194"/>
      <c r="F85" s="215" t="s">
        <v>245</v>
      </c>
      <c r="G85" s="194"/>
      <c r="H85" s="194" t="s">
        <v>255</v>
      </c>
      <c r="I85" s="194" t="s">
        <v>241</v>
      </c>
      <c r="J85" s="194">
        <v>20</v>
      </c>
      <c r="K85" s="206"/>
    </row>
    <row r="86" spans="2:11" customFormat="1" ht="15" customHeight="1" x14ac:dyDescent="0.2">
      <c r="B86" s="217"/>
      <c r="C86" s="194" t="s">
        <v>256</v>
      </c>
      <c r="D86" s="194"/>
      <c r="E86" s="194"/>
      <c r="F86" s="215" t="s">
        <v>245</v>
      </c>
      <c r="G86" s="194"/>
      <c r="H86" s="194" t="s">
        <v>257</v>
      </c>
      <c r="I86" s="194" t="s">
        <v>241</v>
      </c>
      <c r="J86" s="194">
        <v>20</v>
      </c>
      <c r="K86" s="206"/>
    </row>
    <row r="87" spans="2:11" customFormat="1" ht="15" customHeight="1" x14ac:dyDescent="0.2">
      <c r="B87" s="217"/>
      <c r="C87" s="194" t="s">
        <v>258</v>
      </c>
      <c r="D87" s="194"/>
      <c r="E87" s="194"/>
      <c r="F87" s="215" t="s">
        <v>245</v>
      </c>
      <c r="G87" s="216"/>
      <c r="H87" s="194" t="s">
        <v>259</v>
      </c>
      <c r="I87" s="194" t="s">
        <v>241</v>
      </c>
      <c r="J87" s="194">
        <v>50</v>
      </c>
      <c r="K87" s="206"/>
    </row>
    <row r="88" spans="2:11" customFormat="1" ht="15" customHeight="1" x14ac:dyDescent="0.2">
      <c r="B88" s="217"/>
      <c r="C88" s="194" t="s">
        <v>260</v>
      </c>
      <c r="D88" s="194"/>
      <c r="E88" s="194"/>
      <c r="F88" s="215" t="s">
        <v>245</v>
      </c>
      <c r="G88" s="216"/>
      <c r="H88" s="194" t="s">
        <v>261</v>
      </c>
      <c r="I88" s="194" t="s">
        <v>241</v>
      </c>
      <c r="J88" s="194">
        <v>20</v>
      </c>
      <c r="K88" s="206"/>
    </row>
    <row r="89" spans="2:11" customFormat="1" ht="15" customHeight="1" x14ac:dyDescent="0.2">
      <c r="B89" s="217"/>
      <c r="C89" s="194" t="s">
        <v>262</v>
      </c>
      <c r="D89" s="194"/>
      <c r="E89" s="194"/>
      <c r="F89" s="215" t="s">
        <v>245</v>
      </c>
      <c r="G89" s="216"/>
      <c r="H89" s="194" t="s">
        <v>263</v>
      </c>
      <c r="I89" s="194" t="s">
        <v>241</v>
      </c>
      <c r="J89" s="194">
        <v>20</v>
      </c>
      <c r="K89" s="206"/>
    </row>
    <row r="90" spans="2:11" customFormat="1" ht="15" customHeight="1" x14ac:dyDescent="0.2">
      <c r="B90" s="217"/>
      <c r="C90" s="194" t="s">
        <v>264</v>
      </c>
      <c r="D90" s="194"/>
      <c r="E90" s="194"/>
      <c r="F90" s="215" t="s">
        <v>245</v>
      </c>
      <c r="G90" s="216"/>
      <c r="H90" s="194" t="s">
        <v>265</v>
      </c>
      <c r="I90" s="194" t="s">
        <v>241</v>
      </c>
      <c r="J90" s="194">
        <v>50</v>
      </c>
      <c r="K90" s="206"/>
    </row>
    <row r="91" spans="2:11" customFormat="1" ht="15" customHeight="1" x14ac:dyDescent="0.2">
      <c r="B91" s="217"/>
      <c r="C91" s="194" t="s">
        <v>266</v>
      </c>
      <c r="D91" s="194"/>
      <c r="E91" s="194"/>
      <c r="F91" s="215" t="s">
        <v>245</v>
      </c>
      <c r="G91" s="216"/>
      <c r="H91" s="194" t="s">
        <v>266</v>
      </c>
      <c r="I91" s="194" t="s">
        <v>241</v>
      </c>
      <c r="J91" s="194">
        <v>50</v>
      </c>
      <c r="K91" s="206"/>
    </row>
    <row r="92" spans="2:11" customFormat="1" ht="15" customHeight="1" x14ac:dyDescent="0.2">
      <c r="B92" s="217"/>
      <c r="C92" s="194" t="s">
        <v>267</v>
      </c>
      <c r="D92" s="194"/>
      <c r="E92" s="194"/>
      <c r="F92" s="215" t="s">
        <v>245</v>
      </c>
      <c r="G92" s="216"/>
      <c r="H92" s="194" t="s">
        <v>268</v>
      </c>
      <c r="I92" s="194" t="s">
        <v>241</v>
      </c>
      <c r="J92" s="194">
        <v>255</v>
      </c>
      <c r="K92" s="206"/>
    </row>
    <row r="93" spans="2:11" customFormat="1" ht="15" customHeight="1" x14ac:dyDescent="0.2">
      <c r="B93" s="217"/>
      <c r="C93" s="194" t="s">
        <v>269</v>
      </c>
      <c r="D93" s="194"/>
      <c r="E93" s="194"/>
      <c r="F93" s="215" t="s">
        <v>239</v>
      </c>
      <c r="G93" s="216"/>
      <c r="H93" s="194" t="s">
        <v>270</v>
      </c>
      <c r="I93" s="194" t="s">
        <v>271</v>
      </c>
      <c r="J93" s="194"/>
      <c r="K93" s="206"/>
    </row>
    <row r="94" spans="2:11" customFormat="1" ht="15" customHeight="1" x14ac:dyDescent="0.2">
      <c r="B94" s="217"/>
      <c r="C94" s="194" t="s">
        <v>272</v>
      </c>
      <c r="D94" s="194"/>
      <c r="E94" s="194"/>
      <c r="F94" s="215" t="s">
        <v>239</v>
      </c>
      <c r="G94" s="216"/>
      <c r="H94" s="194" t="s">
        <v>273</v>
      </c>
      <c r="I94" s="194" t="s">
        <v>274</v>
      </c>
      <c r="J94" s="194"/>
      <c r="K94" s="206"/>
    </row>
    <row r="95" spans="2:11" customFormat="1" ht="15" customHeight="1" x14ac:dyDescent="0.2">
      <c r="B95" s="217"/>
      <c r="C95" s="194" t="s">
        <v>275</v>
      </c>
      <c r="D95" s="194"/>
      <c r="E95" s="194"/>
      <c r="F95" s="215" t="s">
        <v>239</v>
      </c>
      <c r="G95" s="216"/>
      <c r="H95" s="194" t="s">
        <v>275</v>
      </c>
      <c r="I95" s="194" t="s">
        <v>274</v>
      </c>
      <c r="J95" s="194"/>
      <c r="K95" s="206"/>
    </row>
    <row r="96" spans="2:11" customFormat="1" ht="15" customHeight="1" x14ac:dyDescent="0.2">
      <c r="B96" s="217"/>
      <c r="C96" s="194" t="s">
        <v>33</v>
      </c>
      <c r="D96" s="194"/>
      <c r="E96" s="194"/>
      <c r="F96" s="215" t="s">
        <v>239</v>
      </c>
      <c r="G96" s="216"/>
      <c r="H96" s="194" t="s">
        <v>276</v>
      </c>
      <c r="I96" s="194" t="s">
        <v>274</v>
      </c>
      <c r="J96" s="194"/>
      <c r="K96" s="206"/>
    </row>
    <row r="97" spans="2:11" customFormat="1" ht="15" customHeight="1" x14ac:dyDescent="0.2">
      <c r="B97" s="217"/>
      <c r="C97" s="194" t="s">
        <v>43</v>
      </c>
      <c r="D97" s="194"/>
      <c r="E97" s="194"/>
      <c r="F97" s="215" t="s">
        <v>239</v>
      </c>
      <c r="G97" s="216"/>
      <c r="H97" s="194" t="s">
        <v>277</v>
      </c>
      <c r="I97" s="194" t="s">
        <v>274</v>
      </c>
      <c r="J97" s="194"/>
      <c r="K97" s="206"/>
    </row>
    <row r="98" spans="2:11" customFormat="1" ht="15" customHeight="1" x14ac:dyDescent="0.2">
      <c r="B98" s="218"/>
      <c r="C98" s="219"/>
      <c r="D98" s="219"/>
      <c r="E98" s="219"/>
      <c r="F98" s="219"/>
      <c r="G98" s="219"/>
      <c r="H98" s="219"/>
      <c r="I98" s="219"/>
      <c r="J98" s="219"/>
      <c r="K98" s="220"/>
    </row>
    <row r="99" spans="2:11" customFormat="1" ht="18.75" customHeight="1" x14ac:dyDescent="0.2">
      <c r="B99" s="221"/>
      <c r="C99" s="222"/>
      <c r="D99" s="222"/>
      <c r="E99" s="222"/>
      <c r="F99" s="222"/>
      <c r="G99" s="222"/>
      <c r="H99" s="222"/>
      <c r="I99" s="222"/>
      <c r="J99" s="222"/>
      <c r="K99" s="221"/>
    </row>
    <row r="100" spans="2:11" customFormat="1" ht="18.75" customHeight="1" x14ac:dyDescent="0.2"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</row>
    <row r="101" spans="2:11" customFormat="1" ht="7.5" customHeight="1" x14ac:dyDescent="0.2">
      <c r="B101" s="202"/>
      <c r="C101" s="203"/>
      <c r="D101" s="203"/>
      <c r="E101" s="203"/>
      <c r="F101" s="203"/>
      <c r="G101" s="203"/>
      <c r="H101" s="203"/>
      <c r="I101" s="203"/>
      <c r="J101" s="203"/>
      <c r="K101" s="204"/>
    </row>
    <row r="102" spans="2:11" customFormat="1" ht="45" customHeight="1" x14ac:dyDescent="0.2">
      <c r="B102" s="205"/>
      <c r="C102" s="331" t="s">
        <v>278</v>
      </c>
      <c r="D102" s="331"/>
      <c r="E102" s="331"/>
      <c r="F102" s="331"/>
      <c r="G102" s="331"/>
      <c r="H102" s="331"/>
      <c r="I102" s="331"/>
      <c r="J102" s="331"/>
      <c r="K102" s="206"/>
    </row>
    <row r="103" spans="2:11" customFormat="1" ht="17.25" customHeight="1" x14ac:dyDescent="0.2">
      <c r="B103" s="205"/>
      <c r="C103" s="207" t="s">
        <v>233</v>
      </c>
      <c r="D103" s="207"/>
      <c r="E103" s="207"/>
      <c r="F103" s="207" t="s">
        <v>234</v>
      </c>
      <c r="G103" s="208"/>
      <c r="H103" s="207" t="s">
        <v>49</v>
      </c>
      <c r="I103" s="207" t="s">
        <v>52</v>
      </c>
      <c r="J103" s="207" t="s">
        <v>235</v>
      </c>
      <c r="K103" s="206"/>
    </row>
    <row r="104" spans="2:11" customFormat="1" ht="17.25" customHeight="1" x14ac:dyDescent="0.2">
      <c r="B104" s="205"/>
      <c r="C104" s="209" t="s">
        <v>236</v>
      </c>
      <c r="D104" s="209"/>
      <c r="E104" s="209"/>
      <c r="F104" s="210" t="s">
        <v>237</v>
      </c>
      <c r="G104" s="211"/>
      <c r="H104" s="209"/>
      <c r="I104" s="209"/>
      <c r="J104" s="209" t="s">
        <v>238</v>
      </c>
      <c r="K104" s="206"/>
    </row>
    <row r="105" spans="2:11" customFormat="1" ht="5.25" customHeight="1" x14ac:dyDescent="0.2">
      <c r="B105" s="205"/>
      <c r="C105" s="207"/>
      <c r="D105" s="207"/>
      <c r="E105" s="207"/>
      <c r="F105" s="207"/>
      <c r="G105" s="223"/>
      <c r="H105" s="207"/>
      <c r="I105" s="207"/>
      <c r="J105" s="207"/>
      <c r="K105" s="206"/>
    </row>
    <row r="106" spans="2:11" customFormat="1" ht="15" customHeight="1" x14ac:dyDescent="0.2">
      <c r="B106" s="205"/>
      <c r="C106" s="194" t="s">
        <v>48</v>
      </c>
      <c r="D106" s="214"/>
      <c r="E106" s="214"/>
      <c r="F106" s="215" t="s">
        <v>239</v>
      </c>
      <c r="G106" s="194"/>
      <c r="H106" s="194" t="s">
        <v>279</v>
      </c>
      <c r="I106" s="194" t="s">
        <v>241</v>
      </c>
      <c r="J106" s="194">
        <v>20</v>
      </c>
      <c r="K106" s="206"/>
    </row>
    <row r="107" spans="2:11" customFormat="1" ht="15" customHeight="1" x14ac:dyDescent="0.2">
      <c r="B107" s="205"/>
      <c r="C107" s="194" t="s">
        <v>242</v>
      </c>
      <c r="D107" s="194"/>
      <c r="E107" s="194"/>
      <c r="F107" s="215" t="s">
        <v>239</v>
      </c>
      <c r="G107" s="194"/>
      <c r="H107" s="194" t="s">
        <v>279</v>
      </c>
      <c r="I107" s="194" t="s">
        <v>241</v>
      </c>
      <c r="J107" s="194">
        <v>120</v>
      </c>
      <c r="K107" s="206"/>
    </row>
    <row r="108" spans="2:11" customFormat="1" ht="15" customHeight="1" x14ac:dyDescent="0.2">
      <c r="B108" s="217"/>
      <c r="C108" s="194" t="s">
        <v>244</v>
      </c>
      <c r="D108" s="194"/>
      <c r="E108" s="194"/>
      <c r="F108" s="215" t="s">
        <v>245</v>
      </c>
      <c r="G108" s="194"/>
      <c r="H108" s="194" t="s">
        <v>279</v>
      </c>
      <c r="I108" s="194" t="s">
        <v>241</v>
      </c>
      <c r="J108" s="194">
        <v>50</v>
      </c>
      <c r="K108" s="206"/>
    </row>
    <row r="109" spans="2:11" customFormat="1" ht="15" customHeight="1" x14ac:dyDescent="0.2">
      <c r="B109" s="217"/>
      <c r="C109" s="194" t="s">
        <v>247</v>
      </c>
      <c r="D109" s="194"/>
      <c r="E109" s="194"/>
      <c r="F109" s="215" t="s">
        <v>239</v>
      </c>
      <c r="G109" s="194"/>
      <c r="H109" s="194" t="s">
        <v>279</v>
      </c>
      <c r="I109" s="194" t="s">
        <v>249</v>
      </c>
      <c r="J109" s="194"/>
      <c r="K109" s="206"/>
    </row>
    <row r="110" spans="2:11" customFormat="1" ht="15" customHeight="1" x14ac:dyDescent="0.2">
      <c r="B110" s="217"/>
      <c r="C110" s="194" t="s">
        <v>258</v>
      </c>
      <c r="D110" s="194"/>
      <c r="E110" s="194"/>
      <c r="F110" s="215" t="s">
        <v>245</v>
      </c>
      <c r="G110" s="194"/>
      <c r="H110" s="194" t="s">
        <v>279</v>
      </c>
      <c r="I110" s="194" t="s">
        <v>241</v>
      </c>
      <c r="J110" s="194">
        <v>50</v>
      </c>
      <c r="K110" s="206"/>
    </row>
    <row r="111" spans="2:11" customFormat="1" ht="15" customHeight="1" x14ac:dyDescent="0.2">
      <c r="B111" s="217"/>
      <c r="C111" s="194" t="s">
        <v>266</v>
      </c>
      <c r="D111" s="194"/>
      <c r="E111" s="194"/>
      <c r="F111" s="215" t="s">
        <v>245</v>
      </c>
      <c r="G111" s="194"/>
      <c r="H111" s="194" t="s">
        <v>279</v>
      </c>
      <c r="I111" s="194" t="s">
        <v>241</v>
      </c>
      <c r="J111" s="194">
        <v>50</v>
      </c>
      <c r="K111" s="206"/>
    </row>
    <row r="112" spans="2:11" customFormat="1" ht="15" customHeight="1" x14ac:dyDescent="0.2">
      <c r="B112" s="217"/>
      <c r="C112" s="194" t="s">
        <v>264</v>
      </c>
      <c r="D112" s="194"/>
      <c r="E112" s="194"/>
      <c r="F112" s="215" t="s">
        <v>245</v>
      </c>
      <c r="G112" s="194"/>
      <c r="H112" s="194" t="s">
        <v>279</v>
      </c>
      <c r="I112" s="194" t="s">
        <v>241</v>
      </c>
      <c r="J112" s="194">
        <v>50</v>
      </c>
      <c r="K112" s="206"/>
    </row>
    <row r="113" spans="2:11" customFormat="1" ht="15" customHeight="1" x14ac:dyDescent="0.2">
      <c r="B113" s="217"/>
      <c r="C113" s="194" t="s">
        <v>48</v>
      </c>
      <c r="D113" s="194"/>
      <c r="E113" s="194"/>
      <c r="F113" s="215" t="s">
        <v>239</v>
      </c>
      <c r="G113" s="194"/>
      <c r="H113" s="194" t="s">
        <v>280</v>
      </c>
      <c r="I113" s="194" t="s">
        <v>241</v>
      </c>
      <c r="J113" s="194">
        <v>20</v>
      </c>
      <c r="K113" s="206"/>
    </row>
    <row r="114" spans="2:11" customFormat="1" ht="15" customHeight="1" x14ac:dyDescent="0.2">
      <c r="B114" s="217"/>
      <c r="C114" s="194" t="s">
        <v>281</v>
      </c>
      <c r="D114" s="194"/>
      <c r="E114" s="194"/>
      <c r="F114" s="215" t="s">
        <v>239</v>
      </c>
      <c r="G114" s="194"/>
      <c r="H114" s="194" t="s">
        <v>282</v>
      </c>
      <c r="I114" s="194" t="s">
        <v>241</v>
      </c>
      <c r="J114" s="194">
        <v>120</v>
      </c>
      <c r="K114" s="206"/>
    </row>
    <row r="115" spans="2:11" customFormat="1" ht="15" customHeight="1" x14ac:dyDescent="0.2">
      <c r="B115" s="217"/>
      <c r="C115" s="194" t="s">
        <v>33</v>
      </c>
      <c r="D115" s="194"/>
      <c r="E115" s="194"/>
      <c r="F115" s="215" t="s">
        <v>239</v>
      </c>
      <c r="G115" s="194"/>
      <c r="H115" s="194" t="s">
        <v>283</v>
      </c>
      <c r="I115" s="194" t="s">
        <v>274</v>
      </c>
      <c r="J115" s="194"/>
      <c r="K115" s="206"/>
    </row>
    <row r="116" spans="2:11" customFormat="1" ht="15" customHeight="1" x14ac:dyDescent="0.2">
      <c r="B116" s="217"/>
      <c r="C116" s="194" t="s">
        <v>43</v>
      </c>
      <c r="D116" s="194"/>
      <c r="E116" s="194"/>
      <c r="F116" s="215" t="s">
        <v>239</v>
      </c>
      <c r="G116" s="194"/>
      <c r="H116" s="194" t="s">
        <v>284</v>
      </c>
      <c r="I116" s="194" t="s">
        <v>274</v>
      </c>
      <c r="J116" s="194"/>
      <c r="K116" s="206"/>
    </row>
    <row r="117" spans="2:11" customFormat="1" ht="15" customHeight="1" x14ac:dyDescent="0.2">
      <c r="B117" s="217"/>
      <c r="C117" s="194" t="s">
        <v>52</v>
      </c>
      <c r="D117" s="194"/>
      <c r="E117" s="194"/>
      <c r="F117" s="215" t="s">
        <v>239</v>
      </c>
      <c r="G117" s="194"/>
      <c r="H117" s="194" t="s">
        <v>285</v>
      </c>
      <c r="I117" s="194" t="s">
        <v>286</v>
      </c>
      <c r="J117" s="194"/>
      <c r="K117" s="206"/>
    </row>
    <row r="118" spans="2:11" customFormat="1" ht="15" customHeight="1" x14ac:dyDescent="0.2">
      <c r="B118" s="218"/>
      <c r="C118" s="224"/>
      <c r="D118" s="224"/>
      <c r="E118" s="224"/>
      <c r="F118" s="224"/>
      <c r="G118" s="224"/>
      <c r="H118" s="224"/>
      <c r="I118" s="224"/>
      <c r="J118" s="224"/>
      <c r="K118" s="220"/>
    </row>
    <row r="119" spans="2:11" customFormat="1" ht="18.75" customHeight="1" x14ac:dyDescent="0.2">
      <c r="B119" s="225"/>
      <c r="C119" s="226"/>
      <c r="D119" s="226"/>
      <c r="E119" s="226"/>
      <c r="F119" s="227"/>
      <c r="G119" s="226"/>
      <c r="H119" s="226"/>
      <c r="I119" s="226"/>
      <c r="J119" s="226"/>
      <c r="K119" s="225"/>
    </row>
    <row r="120" spans="2:11" customFormat="1" ht="18.75" customHeight="1" x14ac:dyDescent="0.2"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</row>
    <row r="121" spans="2:11" customFormat="1" ht="7.5" customHeight="1" x14ac:dyDescent="0.2">
      <c r="B121" s="228"/>
      <c r="C121" s="229"/>
      <c r="D121" s="229"/>
      <c r="E121" s="229"/>
      <c r="F121" s="229"/>
      <c r="G121" s="229"/>
      <c r="H121" s="229"/>
      <c r="I121" s="229"/>
      <c r="J121" s="229"/>
      <c r="K121" s="230"/>
    </row>
    <row r="122" spans="2:11" customFormat="1" ht="45" customHeight="1" x14ac:dyDescent="0.2">
      <c r="B122" s="231"/>
      <c r="C122" s="329" t="s">
        <v>287</v>
      </c>
      <c r="D122" s="329"/>
      <c r="E122" s="329"/>
      <c r="F122" s="329"/>
      <c r="G122" s="329"/>
      <c r="H122" s="329"/>
      <c r="I122" s="329"/>
      <c r="J122" s="329"/>
      <c r="K122" s="232"/>
    </row>
    <row r="123" spans="2:11" customFormat="1" ht="17.25" customHeight="1" x14ac:dyDescent="0.2">
      <c r="B123" s="233"/>
      <c r="C123" s="207" t="s">
        <v>233</v>
      </c>
      <c r="D123" s="207"/>
      <c r="E123" s="207"/>
      <c r="F123" s="207" t="s">
        <v>234</v>
      </c>
      <c r="G123" s="208"/>
      <c r="H123" s="207" t="s">
        <v>49</v>
      </c>
      <c r="I123" s="207" t="s">
        <v>52</v>
      </c>
      <c r="J123" s="207" t="s">
        <v>235</v>
      </c>
      <c r="K123" s="234"/>
    </row>
    <row r="124" spans="2:11" customFormat="1" ht="17.25" customHeight="1" x14ac:dyDescent="0.2">
      <c r="B124" s="233"/>
      <c r="C124" s="209" t="s">
        <v>236</v>
      </c>
      <c r="D124" s="209"/>
      <c r="E124" s="209"/>
      <c r="F124" s="210" t="s">
        <v>237</v>
      </c>
      <c r="G124" s="211"/>
      <c r="H124" s="209"/>
      <c r="I124" s="209"/>
      <c r="J124" s="209" t="s">
        <v>238</v>
      </c>
      <c r="K124" s="234"/>
    </row>
    <row r="125" spans="2:11" customFormat="1" ht="5.25" customHeight="1" x14ac:dyDescent="0.2">
      <c r="B125" s="235"/>
      <c r="C125" s="212"/>
      <c r="D125" s="212"/>
      <c r="E125" s="212"/>
      <c r="F125" s="212"/>
      <c r="G125" s="236"/>
      <c r="H125" s="212"/>
      <c r="I125" s="212"/>
      <c r="J125" s="212"/>
      <c r="K125" s="237"/>
    </row>
    <row r="126" spans="2:11" customFormat="1" ht="15" customHeight="1" x14ac:dyDescent="0.2">
      <c r="B126" s="235"/>
      <c r="C126" s="194" t="s">
        <v>242</v>
      </c>
      <c r="D126" s="214"/>
      <c r="E126" s="214"/>
      <c r="F126" s="215" t="s">
        <v>239</v>
      </c>
      <c r="G126" s="194"/>
      <c r="H126" s="194" t="s">
        <v>279</v>
      </c>
      <c r="I126" s="194" t="s">
        <v>241</v>
      </c>
      <c r="J126" s="194">
        <v>120</v>
      </c>
      <c r="K126" s="238"/>
    </row>
    <row r="127" spans="2:11" customFormat="1" ht="15" customHeight="1" x14ac:dyDescent="0.2">
      <c r="B127" s="235"/>
      <c r="C127" s="194" t="s">
        <v>288</v>
      </c>
      <c r="D127" s="194"/>
      <c r="E127" s="194"/>
      <c r="F127" s="215" t="s">
        <v>239</v>
      </c>
      <c r="G127" s="194"/>
      <c r="H127" s="194" t="s">
        <v>289</v>
      </c>
      <c r="I127" s="194" t="s">
        <v>241</v>
      </c>
      <c r="J127" s="194" t="s">
        <v>290</v>
      </c>
      <c r="K127" s="238"/>
    </row>
    <row r="128" spans="2:11" customFormat="1" ht="15" customHeight="1" x14ac:dyDescent="0.2">
      <c r="B128" s="235"/>
      <c r="C128" s="194" t="s">
        <v>187</v>
      </c>
      <c r="D128" s="194"/>
      <c r="E128" s="194"/>
      <c r="F128" s="215" t="s">
        <v>239</v>
      </c>
      <c r="G128" s="194"/>
      <c r="H128" s="194" t="s">
        <v>291</v>
      </c>
      <c r="I128" s="194" t="s">
        <v>241</v>
      </c>
      <c r="J128" s="194" t="s">
        <v>290</v>
      </c>
      <c r="K128" s="238"/>
    </row>
    <row r="129" spans="2:11" customFormat="1" ht="15" customHeight="1" x14ac:dyDescent="0.2">
      <c r="B129" s="235"/>
      <c r="C129" s="194" t="s">
        <v>250</v>
      </c>
      <c r="D129" s="194"/>
      <c r="E129" s="194"/>
      <c r="F129" s="215" t="s">
        <v>245</v>
      </c>
      <c r="G129" s="194"/>
      <c r="H129" s="194" t="s">
        <v>251</v>
      </c>
      <c r="I129" s="194" t="s">
        <v>241</v>
      </c>
      <c r="J129" s="194">
        <v>15</v>
      </c>
      <c r="K129" s="238"/>
    </row>
    <row r="130" spans="2:11" customFormat="1" ht="15" customHeight="1" x14ac:dyDescent="0.2">
      <c r="B130" s="235"/>
      <c r="C130" s="194" t="s">
        <v>252</v>
      </c>
      <c r="D130" s="194"/>
      <c r="E130" s="194"/>
      <c r="F130" s="215" t="s">
        <v>245</v>
      </c>
      <c r="G130" s="194"/>
      <c r="H130" s="194" t="s">
        <v>253</v>
      </c>
      <c r="I130" s="194" t="s">
        <v>241</v>
      </c>
      <c r="J130" s="194">
        <v>15</v>
      </c>
      <c r="K130" s="238"/>
    </row>
    <row r="131" spans="2:11" customFormat="1" ht="15" customHeight="1" x14ac:dyDescent="0.2">
      <c r="B131" s="235"/>
      <c r="C131" s="194" t="s">
        <v>254</v>
      </c>
      <c r="D131" s="194"/>
      <c r="E131" s="194"/>
      <c r="F131" s="215" t="s">
        <v>245</v>
      </c>
      <c r="G131" s="194"/>
      <c r="H131" s="194" t="s">
        <v>255</v>
      </c>
      <c r="I131" s="194" t="s">
        <v>241</v>
      </c>
      <c r="J131" s="194">
        <v>20</v>
      </c>
      <c r="K131" s="238"/>
    </row>
    <row r="132" spans="2:11" customFormat="1" ht="15" customHeight="1" x14ac:dyDescent="0.2">
      <c r="B132" s="235"/>
      <c r="C132" s="194" t="s">
        <v>256</v>
      </c>
      <c r="D132" s="194"/>
      <c r="E132" s="194"/>
      <c r="F132" s="215" t="s">
        <v>245</v>
      </c>
      <c r="G132" s="194"/>
      <c r="H132" s="194" t="s">
        <v>257</v>
      </c>
      <c r="I132" s="194" t="s">
        <v>241</v>
      </c>
      <c r="J132" s="194">
        <v>20</v>
      </c>
      <c r="K132" s="238"/>
    </row>
    <row r="133" spans="2:11" customFormat="1" ht="15" customHeight="1" x14ac:dyDescent="0.2">
      <c r="B133" s="235"/>
      <c r="C133" s="194" t="s">
        <v>244</v>
      </c>
      <c r="D133" s="194"/>
      <c r="E133" s="194"/>
      <c r="F133" s="215" t="s">
        <v>245</v>
      </c>
      <c r="G133" s="194"/>
      <c r="H133" s="194" t="s">
        <v>279</v>
      </c>
      <c r="I133" s="194" t="s">
        <v>241</v>
      </c>
      <c r="J133" s="194">
        <v>50</v>
      </c>
      <c r="K133" s="238"/>
    </row>
    <row r="134" spans="2:11" customFormat="1" ht="15" customHeight="1" x14ac:dyDescent="0.2">
      <c r="B134" s="235"/>
      <c r="C134" s="194" t="s">
        <v>258</v>
      </c>
      <c r="D134" s="194"/>
      <c r="E134" s="194"/>
      <c r="F134" s="215" t="s">
        <v>245</v>
      </c>
      <c r="G134" s="194"/>
      <c r="H134" s="194" t="s">
        <v>279</v>
      </c>
      <c r="I134" s="194" t="s">
        <v>241</v>
      </c>
      <c r="J134" s="194">
        <v>50</v>
      </c>
      <c r="K134" s="238"/>
    </row>
    <row r="135" spans="2:11" customFormat="1" ht="15" customHeight="1" x14ac:dyDescent="0.2">
      <c r="B135" s="235"/>
      <c r="C135" s="194" t="s">
        <v>264</v>
      </c>
      <c r="D135" s="194"/>
      <c r="E135" s="194"/>
      <c r="F135" s="215" t="s">
        <v>245</v>
      </c>
      <c r="G135" s="194"/>
      <c r="H135" s="194" t="s">
        <v>279</v>
      </c>
      <c r="I135" s="194" t="s">
        <v>241</v>
      </c>
      <c r="J135" s="194">
        <v>50</v>
      </c>
      <c r="K135" s="238"/>
    </row>
    <row r="136" spans="2:11" customFormat="1" ht="15" customHeight="1" x14ac:dyDescent="0.2">
      <c r="B136" s="235"/>
      <c r="C136" s="194" t="s">
        <v>266</v>
      </c>
      <c r="D136" s="194"/>
      <c r="E136" s="194"/>
      <c r="F136" s="215" t="s">
        <v>245</v>
      </c>
      <c r="G136" s="194"/>
      <c r="H136" s="194" t="s">
        <v>279</v>
      </c>
      <c r="I136" s="194" t="s">
        <v>241</v>
      </c>
      <c r="J136" s="194">
        <v>50</v>
      </c>
      <c r="K136" s="238"/>
    </row>
    <row r="137" spans="2:11" customFormat="1" ht="15" customHeight="1" x14ac:dyDescent="0.2">
      <c r="B137" s="235"/>
      <c r="C137" s="194" t="s">
        <v>267</v>
      </c>
      <c r="D137" s="194"/>
      <c r="E137" s="194"/>
      <c r="F137" s="215" t="s">
        <v>245</v>
      </c>
      <c r="G137" s="194"/>
      <c r="H137" s="194" t="s">
        <v>292</v>
      </c>
      <c r="I137" s="194" t="s">
        <v>241</v>
      </c>
      <c r="J137" s="194">
        <v>255</v>
      </c>
      <c r="K137" s="238"/>
    </row>
    <row r="138" spans="2:11" customFormat="1" ht="15" customHeight="1" x14ac:dyDescent="0.2">
      <c r="B138" s="235"/>
      <c r="C138" s="194" t="s">
        <v>269</v>
      </c>
      <c r="D138" s="194"/>
      <c r="E138" s="194"/>
      <c r="F138" s="215" t="s">
        <v>239</v>
      </c>
      <c r="G138" s="194"/>
      <c r="H138" s="194" t="s">
        <v>293</v>
      </c>
      <c r="I138" s="194" t="s">
        <v>271</v>
      </c>
      <c r="J138" s="194"/>
      <c r="K138" s="238"/>
    </row>
    <row r="139" spans="2:11" customFormat="1" ht="15" customHeight="1" x14ac:dyDescent="0.2">
      <c r="B139" s="235"/>
      <c r="C139" s="194" t="s">
        <v>272</v>
      </c>
      <c r="D139" s="194"/>
      <c r="E139" s="194"/>
      <c r="F139" s="215" t="s">
        <v>239</v>
      </c>
      <c r="G139" s="194"/>
      <c r="H139" s="194" t="s">
        <v>294</v>
      </c>
      <c r="I139" s="194" t="s">
        <v>274</v>
      </c>
      <c r="J139" s="194"/>
      <c r="K139" s="238"/>
    </row>
    <row r="140" spans="2:11" customFormat="1" ht="15" customHeight="1" x14ac:dyDescent="0.2">
      <c r="B140" s="235"/>
      <c r="C140" s="194" t="s">
        <v>275</v>
      </c>
      <c r="D140" s="194"/>
      <c r="E140" s="194"/>
      <c r="F140" s="215" t="s">
        <v>239</v>
      </c>
      <c r="G140" s="194"/>
      <c r="H140" s="194" t="s">
        <v>275</v>
      </c>
      <c r="I140" s="194" t="s">
        <v>274</v>
      </c>
      <c r="J140" s="194"/>
      <c r="K140" s="238"/>
    </row>
    <row r="141" spans="2:11" customFormat="1" ht="15" customHeight="1" x14ac:dyDescent="0.2">
      <c r="B141" s="235"/>
      <c r="C141" s="194" t="s">
        <v>33</v>
      </c>
      <c r="D141" s="194"/>
      <c r="E141" s="194"/>
      <c r="F141" s="215" t="s">
        <v>239</v>
      </c>
      <c r="G141" s="194"/>
      <c r="H141" s="194" t="s">
        <v>295</v>
      </c>
      <c r="I141" s="194" t="s">
        <v>274</v>
      </c>
      <c r="J141" s="194"/>
      <c r="K141" s="238"/>
    </row>
    <row r="142" spans="2:11" customFormat="1" ht="15" customHeight="1" x14ac:dyDescent="0.2">
      <c r="B142" s="235"/>
      <c r="C142" s="194" t="s">
        <v>296</v>
      </c>
      <c r="D142" s="194"/>
      <c r="E142" s="194"/>
      <c r="F142" s="215" t="s">
        <v>239</v>
      </c>
      <c r="G142" s="194"/>
      <c r="H142" s="194" t="s">
        <v>297</v>
      </c>
      <c r="I142" s="194" t="s">
        <v>274</v>
      </c>
      <c r="J142" s="194"/>
      <c r="K142" s="238"/>
    </row>
    <row r="143" spans="2:11" customFormat="1" ht="15" customHeight="1" x14ac:dyDescent="0.2">
      <c r="B143" s="239"/>
      <c r="C143" s="240"/>
      <c r="D143" s="240"/>
      <c r="E143" s="240"/>
      <c r="F143" s="240"/>
      <c r="G143" s="240"/>
      <c r="H143" s="240"/>
      <c r="I143" s="240"/>
      <c r="J143" s="240"/>
      <c r="K143" s="241"/>
    </row>
    <row r="144" spans="2:11" customFormat="1" ht="18.75" customHeight="1" x14ac:dyDescent="0.2">
      <c r="B144" s="226"/>
      <c r="C144" s="226"/>
      <c r="D144" s="226"/>
      <c r="E144" s="226"/>
      <c r="F144" s="227"/>
      <c r="G144" s="226"/>
      <c r="H144" s="226"/>
      <c r="I144" s="226"/>
      <c r="J144" s="226"/>
      <c r="K144" s="226"/>
    </row>
    <row r="145" spans="2:11" customFormat="1" ht="18.75" customHeight="1" x14ac:dyDescent="0.2"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</row>
    <row r="146" spans="2:11" customFormat="1" ht="7.5" customHeight="1" x14ac:dyDescent="0.2">
      <c r="B146" s="202"/>
      <c r="C146" s="203"/>
      <c r="D146" s="203"/>
      <c r="E146" s="203"/>
      <c r="F146" s="203"/>
      <c r="G146" s="203"/>
      <c r="H146" s="203"/>
      <c r="I146" s="203"/>
      <c r="J146" s="203"/>
      <c r="K146" s="204"/>
    </row>
    <row r="147" spans="2:11" customFormat="1" ht="45" customHeight="1" x14ac:dyDescent="0.2">
      <c r="B147" s="205"/>
      <c r="C147" s="331" t="s">
        <v>298</v>
      </c>
      <c r="D147" s="331"/>
      <c r="E147" s="331"/>
      <c r="F147" s="331"/>
      <c r="G147" s="331"/>
      <c r="H147" s="331"/>
      <c r="I147" s="331"/>
      <c r="J147" s="331"/>
      <c r="K147" s="206"/>
    </row>
    <row r="148" spans="2:11" customFormat="1" ht="17.25" customHeight="1" x14ac:dyDescent="0.2">
      <c r="B148" s="205"/>
      <c r="C148" s="207" t="s">
        <v>233</v>
      </c>
      <c r="D148" s="207"/>
      <c r="E148" s="207"/>
      <c r="F148" s="207" t="s">
        <v>234</v>
      </c>
      <c r="G148" s="208"/>
      <c r="H148" s="207" t="s">
        <v>49</v>
      </c>
      <c r="I148" s="207" t="s">
        <v>52</v>
      </c>
      <c r="J148" s="207" t="s">
        <v>235</v>
      </c>
      <c r="K148" s="206"/>
    </row>
    <row r="149" spans="2:11" customFormat="1" ht="17.25" customHeight="1" x14ac:dyDescent="0.2">
      <c r="B149" s="205"/>
      <c r="C149" s="209" t="s">
        <v>236</v>
      </c>
      <c r="D149" s="209"/>
      <c r="E149" s="209"/>
      <c r="F149" s="210" t="s">
        <v>237</v>
      </c>
      <c r="G149" s="211"/>
      <c r="H149" s="209"/>
      <c r="I149" s="209"/>
      <c r="J149" s="209" t="s">
        <v>238</v>
      </c>
      <c r="K149" s="206"/>
    </row>
    <row r="150" spans="2:11" customFormat="1" ht="5.25" customHeight="1" x14ac:dyDescent="0.2">
      <c r="B150" s="217"/>
      <c r="C150" s="212"/>
      <c r="D150" s="212"/>
      <c r="E150" s="212"/>
      <c r="F150" s="212"/>
      <c r="G150" s="213"/>
      <c r="H150" s="212"/>
      <c r="I150" s="212"/>
      <c r="J150" s="212"/>
      <c r="K150" s="238"/>
    </row>
    <row r="151" spans="2:11" customFormat="1" ht="15" customHeight="1" x14ac:dyDescent="0.2">
      <c r="B151" s="217"/>
      <c r="C151" s="242" t="s">
        <v>242</v>
      </c>
      <c r="D151" s="194"/>
      <c r="E151" s="194"/>
      <c r="F151" s="243" t="s">
        <v>239</v>
      </c>
      <c r="G151" s="194"/>
      <c r="H151" s="242" t="s">
        <v>279</v>
      </c>
      <c r="I151" s="242" t="s">
        <v>241</v>
      </c>
      <c r="J151" s="242">
        <v>120</v>
      </c>
      <c r="K151" s="238"/>
    </row>
    <row r="152" spans="2:11" customFormat="1" ht="15" customHeight="1" x14ac:dyDescent="0.2">
      <c r="B152" s="217"/>
      <c r="C152" s="242" t="s">
        <v>288</v>
      </c>
      <c r="D152" s="194"/>
      <c r="E152" s="194"/>
      <c r="F152" s="243" t="s">
        <v>239</v>
      </c>
      <c r="G152" s="194"/>
      <c r="H152" s="242" t="s">
        <v>299</v>
      </c>
      <c r="I152" s="242" t="s">
        <v>241</v>
      </c>
      <c r="J152" s="242" t="s">
        <v>290</v>
      </c>
      <c r="K152" s="238"/>
    </row>
    <row r="153" spans="2:11" customFormat="1" ht="15" customHeight="1" x14ac:dyDescent="0.2">
      <c r="B153" s="217"/>
      <c r="C153" s="242" t="s">
        <v>187</v>
      </c>
      <c r="D153" s="194"/>
      <c r="E153" s="194"/>
      <c r="F153" s="243" t="s">
        <v>239</v>
      </c>
      <c r="G153" s="194"/>
      <c r="H153" s="242" t="s">
        <v>300</v>
      </c>
      <c r="I153" s="242" t="s">
        <v>241</v>
      </c>
      <c r="J153" s="242" t="s">
        <v>290</v>
      </c>
      <c r="K153" s="238"/>
    </row>
    <row r="154" spans="2:11" customFormat="1" ht="15" customHeight="1" x14ac:dyDescent="0.2">
      <c r="B154" s="217"/>
      <c r="C154" s="242" t="s">
        <v>244</v>
      </c>
      <c r="D154" s="194"/>
      <c r="E154" s="194"/>
      <c r="F154" s="243" t="s">
        <v>245</v>
      </c>
      <c r="G154" s="194"/>
      <c r="H154" s="242" t="s">
        <v>279</v>
      </c>
      <c r="I154" s="242" t="s">
        <v>241</v>
      </c>
      <c r="J154" s="242">
        <v>50</v>
      </c>
      <c r="K154" s="238"/>
    </row>
    <row r="155" spans="2:11" customFormat="1" ht="15" customHeight="1" x14ac:dyDescent="0.2">
      <c r="B155" s="217"/>
      <c r="C155" s="242" t="s">
        <v>247</v>
      </c>
      <c r="D155" s="194"/>
      <c r="E155" s="194"/>
      <c r="F155" s="243" t="s">
        <v>239</v>
      </c>
      <c r="G155" s="194"/>
      <c r="H155" s="242" t="s">
        <v>279</v>
      </c>
      <c r="I155" s="242" t="s">
        <v>249</v>
      </c>
      <c r="J155" s="242"/>
      <c r="K155" s="238"/>
    </row>
    <row r="156" spans="2:11" customFormat="1" ht="15" customHeight="1" x14ac:dyDescent="0.2">
      <c r="B156" s="217"/>
      <c r="C156" s="242" t="s">
        <v>258</v>
      </c>
      <c r="D156" s="194"/>
      <c r="E156" s="194"/>
      <c r="F156" s="243" t="s">
        <v>245</v>
      </c>
      <c r="G156" s="194"/>
      <c r="H156" s="242" t="s">
        <v>279</v>
      </c>
      <c r="I156" s="242" t="s">
        <v>241</v>
      </c>
      <c r="J156" s="242">
        <v>50</v>
      </c>
      <c r="K156" s="238"/>
    </row>
    <row r="157" spans="2:11" customFormat="1" ht="15" customHeight="1" x14ac:dyDescent="0.2">
      <c r="B157" s="217"/>
      <c r="C157" s="242" t="s">
        <v>266</v>
      </c>
      <c r="D157" s="194"/>
      <c r="E157" s="194"/>
      <c r="F157" s="243" t="s">
        <v>245</v>
      </c>
      <c r="G157" s="194"/>
      <c r="H157" s="242" t="s">
        <v>279</v>
      </c>
      <c r="I157" s="242" t="s">
        <v>241</v>
      </c>
      <c r="J157" s="242">
        <v>50</v>
      </c>
      <c r="K157" s="238"/>
    </row>
    <row r="158" spans="2:11" customFormat="1" ht="15" customHeight="1" x14ac:dyDescent="0.2">
      <c r="B158" s="217"/>
      <c r="C158" s="242" t="s">
        <v>264</v>
      </c>
      <c r="D158" s="194"/>
      <c r="E158" s="194"/>
      <c r="F158" s="243" t="s">
        <v>245</v>
      </c>
      <c r="G158" s="194"/>
      <c r="H158" s="242" t="s">
        <v>279</v>
      </c>
      <c r="I158" s="242" t="s">
        <v>241</v>
      </c>
      <c r="J158" s="242">
        <v>50</v>
      </c>
      <c r="K158" s="238"/>
    </row>
    <row r="159" spans="2:11" customFormat="1" ht="15" customHeight="1" x14ac:dyDescent="0.2">
      <c r="B159" s="217"/>
      <c r="C159" s="242" t="s">
        <v>85</v>
      </c>
      <c r="D159" s="194"/>
      <c r="E159" s="194"/>
      <c r="F159" s="243" t="s">
        <v>239</v>
      </c>
      <c r="G159" s="194"/>
      <c r="H159" s="242" t="s">
        <v>301</v>
      </c>
      <c r="I159" s="242" t="s">
        <v>241</v>
      </c>
      <c r="J159" s="242" t="s">
        <v>302</v>
      </c>
      <c r="K159" s="238"/>
    </row>
    <row r="160" spans="2:11" customFormat="1" ht="15" customHeight="1" x14ac:dyDescent="0.2">
      <c r="B160" s="217"/>
      <c r="C160" s="242" t="s">
        <v>303</v>
      </c>
      <c r="D160" s="194"/>
      <c r="E160" s="194"/>
      <c r="F160" s="243" t="s">
        <v>239</v>
      </c>
      <c r="G160" s="194"/>
      <c r="H160" s="242" t="s">
        <v>304</v>
      </c>
      <c r="I160" s="242" t="s">
        <v>274</v>
      </c>
      <c r="J160" s="242"/>
      <c r="K160" s="238"/>
    </row>
    <row r="161" spans="2:11" customFormat="1" ht="15" customHeight="1" x14ac:dyDescent="0.2">
      <c r="B161" s="244"/>
      <c r="C161" s="224"/>
      <c r="D161" s="224"/>
      <c r="E161" s="224"/>
      <c r="F161" s="224"/>
      <c r="G161" s="224"/>
      <c r="H161" s="224"/>
      <c r="I161" s="224"/>
      <c r="J161" s="224"/>
      <c r="K161" s="245"/>
    </row>
    <row r="162" spans="2:11" customFormat="1" ht="18.75" customHeight="1" x14ac:dyDescent="0.2">
      <c r="B162" s="226"/>
      <c r="C162" s="236"/>
      <c r="D162" s="236"/>
      <c r="E162" s="236"/>
      <c r="F162" s="246"/>
      <c r="G162" s="236"/>
      <c r="H162" s="236"/>
      <c r="I162" s="236"/>
      <c r="J162" s="236"/>
      <c r="K162" s="226"/>
    </row>
    <row r="163" spans="2:11" customFormat="1" ht="18.75" customHeight="1" x14ac:dyDescent="0.2">
      <c r="B163" s="201"/>
      <c r="C163" s="201"/>
      <c r="D163" s="201"/>
      <c r="E163" s="201"/>
      <c r="F163" s="201"/>
      <c r="G163" s="201"/>
      <c r="H163" s="201"/>
      <c r="I163" s="201"/>
      <c r="J163" s="201"/>
      <c r="K163" s="201"/>
    </row>
    <row r="164" spans="2:11" customFormat="1" ht="7.5" customHeight="1" x14ac:dyDescent="0.2">
      <c r="B164" s="183"/>
      <c r="C164" s="184"/>
      <c r="D164" s="184"/>
      <c r="E164" s="184"/>
      <c r="F164" s="184"/>
      <c r="G164" s="184"/>
      <c r="H164" s="184"/>
      <c r="I164" s="184"/>
      <c r="J164" s="184"/>
      <c r="K164" s="185"/>
    </row>
    <row r="165" spans="2:11" customFormat="1" ht="45" customHeight="1" x14ac:dyDescent="0.2">
      <c r="B165" s="186"/>
      <c r="C165" s="329" t="s">
        <v>305</v>
      </c>
      <c r="D165" s="329"/>
      <c r="E165" s="329"/>
      <c r="F165" s="329"/>
      <c r="G165" s="329"/>
      <c r="H165" s="329"/>
      <c r="I165" s="329"/>
      <c r="J165" s="329"/>
      <c r="K165" s="187"/>
    </row>
    <row r="166" spans="2:11" customFormat="1" ht="17.25" customHeight="1" x14ac:dyDescent="0.2">
      <c r="B166" s="186"/>
      <c r="C166" s="207" t="s">
        <v>233</v>
      </c>
      <c r="D166" s="207"/>
      <c r="E166" s="207"/>
      <c r="F166" s="207" t="s">
        <v>234</v>
      </c>
      <c r="G166" s="247"/>
      <c r="H166" s="248" t="s">
        <v>49</v>
      </c>
      <c r="I166" s="248" t="s">
        <v>52</v>
      </c>
      <c r="J166" s="207" t="s">
        <v>235</v>
      </c>
      <c r="K166" s="187"/>
    </row>
    <row r="167" spans="2:11" customFormat="1" ht="17.25" customHeight="1" x14ac:dyDescent="0.2">
      <c r="B167" s="188"/>
      <c r="C167" s="209" t="s">
        <v>236</v>
      </c>
      <c r="D167" s="209"/>
      <c r="E167" s="209"/>
      <c r="F167" s="210" t="s">
        <v>237</v>
      </c>
      <c r="G167" s="249"/>
      <c r="H167" s="250"/>
      <c r="I167" s="250"/>
      <c r="J167" s="209" t="s">
        <v>238</v>
      </c>
      <c r="K167" s="189"/>
    </row>
    <row r="168" spans="2:11" customFormat="1" ht="5.25" customHeight="1" x14ac:dyDescent="0.2">
      <c r="B168" s="217"/>
      <c r="C168" s="212"/>
      <c r="D168" s="212"/>
      <c r="E168" s="212"/>
      <c r="F168" s="212"/>
      <c r="G168" s="213"/>
      <c r="H168" s="212"/>
      <c r="I168" s="212"/>
      <c r="J168" s="212"/>
      <c r="K168" s="238"/>
    </row>
    <row r="169" spans="2:11" customFormat="1" ht="15" customHeight="1" x14ac:dyDescent="0.2">
      <c r="B169" s="217"/>
      <c r="C169" s="194" t="s">
        <v>242</v>
      </c>
      <c r="D169" s="194"/>
      <c r="E169" s="194"/>
      <c r="F169" s="215" t="s">
        <v>239</v>
      </c>
      <c r="G169" s="194"/>
      <c r="H169" s="194" t="s">
        <v>279</v>
      </c>
      <c r="I169" s="194" t="s">
        <v>241</v>
      </c>
      <c r="J169" s="194">
        <v>120</v>
      </c>
      <c r="K169" s="238"/>
    </row>
    <row r="170" spans="2:11" customFormat="1" ht="15" customHeight="1" x14ac:dyDescent="0.2">
      <c r="B170" s="217"/>
      <c r="C170" s="194" t="s">
        <v>288</v>
      </c>
      <c r="D170" s="194"/>
      <c r="E170" s="194"/>
      <c r="F170" s="215" t="s">
        <v>239</v>
      </c>
      <c r="G170" s="194"/>
      <c r="H170" s="194" t="s">
        <v>289</v>
      </c>
      <c r="I170" s="194" t="s">
        <v>241</v>
      </c>
      <c r="J170" s="194" t="s">
        <v>290</v>
      </c>
      <c r="K170" s="238"/>
    </row>
    <row r="171" spans="2:11" customFormat="1" ht="15" customHeight="1" x14ac:dyDescent="0.2">
      <c r="B171" s="217"/>
      <c r="C171" s="194" t="s">
        <v>187</v>
      </c>
      <c r="D171" s="194"/>
      <c r="E171" s="194"/>
      <c r="F171" s="215" t="s">
        <v>239</v>
      </c>
      <c r="G171" s="194"/>
      <c r="H171" s="194" t="s">
        <v>306</v>
      </c>
      <c r="I171" s="194" t="s">
        <v>241</v>
      </c>
      <c r="J171" s="194" t="s">
        <v>290</v>
      </c>
      <c r="K171" s="238"/>
    </row>
    <row r="172" spans="2:11" customFormat="1" ht="15" customHeight="1" x14ac:dyDescent="0.2">
      <c r="B172" s="217"/>
      <c r="C172" s="194" t="s">
        <v>244</v>
      </c>
      <c r="D172" s="194"/>
      <c r="E172" s="194"/>
      <c r="F172" s="215" t="s">
        <v>245</v>
      </c>
      <c r="G172" s="194"/>
      <c r="H172" s="194" t="s">
        <v>306</v>
      </c>
      <c r="I172" s="194" t="s">
        <v>241</v>
      </c>
      <c r="J172" s="194">
        <v>50</v>
      </c>
      <c r="K172" s="238"/>
    </row>
    <row r="173" spans="2:11" customFormat="1" ht="15" customHeight="1" x14ac:dyDescent="0.2">
      <c r="B173" s="217"/>
      <c r="C173" s="194" t="s">
        <v>247</v>
      </c>
      <c r="D173" s="194"/>
      <c r="E173" s="194"/>
      <c r="F173" s="215" t="s">
        <v>239</v>
      </c>
      <c r="G173" s="194"/>
      <c r="H173" s="194" t="s">
        <v>306</v>
      </c>
      <c r="I173" s="194" t="s">
        <v>249</v>
      </c>
      <c r="J173" s="194"/>
      <c r="K173" s="238"/>
    </row>
    <row r="174" spans="2:11" customFormat="1" ht="15" customHeight="1" x14ac:dyDescent="0.2">
      <c r="B174" s="217"/>
      <c r="C174" s="194" t="s">
        <v>258</v>
      </c>
      <c r="D174" s="194"/>
      <c r="E174" s="194"/>
      <c r="F174" s="215" t="s">
        <v>245</v>
      </c>
      <c r="G174" s="194"/>
      <c r="H174" s="194" t="s">
        <v>306</v>
      </c>
      <c r="I174" s="194" t="s">
        <v>241</v>
      </c>
      <c r="J174" s="194">
        <v>50</v>
      </c>
      <c r="K174" s="238"/>
    </row>
    <row r="175" spans="2:11" customFormat="1" ht="15" customHeight="1" x14ac:dyDescent="0.2">
      <c r="B175" s="217"/>
      <c r="C175" s="194" t="s">
        <v>266</v>
      </c>
      <c r="D175" s="194"/>
      <c r="E175" s="194"/>
      <c r="F175" s="215" t="s">
        <v>245</v>
      </c>
      <c r="G175" s="194"/>
      <c r="H175" s="194" t="s">
        <v>306</v>
      </c>
      <c r="I175" s="194" t="s">
        <v>241</v>
      </c>
      <c r="J175" s="194">
        <v>50</v>
      </c>
      <c r="K175" s="238"/>
    </row>
    <row r="176" spans="2:11" customFormat="1" ht="15" customHeight="1" x14ac:dyDescent="0.2">
      <c r="B176" s="217"/>
      <c r="C176" s="194" t="s">
        <v>264</v>
      </c>
      <c r="D176" s="194"/>
      <c r="E176" s="194"/>
      <c r="F176" s="215" t="s">
        <v>245</v>
      </c>
      <c r="G176" s="194"/>
      <c r="H176" s="194" t="s">
        <v>306</v>
      </c>
      <c r="I176" s="194" t="s">
        <v>241</v>
      </c>
      <c r="J176" s="194">
        <v>50</v>
      </c>
      <c r="K176" s="238"/>
    </row>
    <row r="177" spans="2:11" customFormat="1" ht="15" customHeight="1" x14ac:dyDescent="0.2">
      <c r="B177" s="217"/>
      <c r="C177" s="194" t="s">
        <v>94</v>
      </c>
      <c r="D177" s="194"/>
      <c r="E177" s="194"/>
      <c r="F177" s="215" t="s">
        <v>239</v>
      </c>
      <c r="G177" s="194"/>
      <c r="H177" s="194" t="s">
        <v>307</v>
      </c>
      <c r="I177" s="194" t="s">
        <v>308</v>
      </c>
      <c r="J177" s="194"/>
      <c r="K177" s="238"/>
    </row>
    <row r="178" spans="2:11" customFormat="1" ht="15" customHeight="1" x14ac:dyDescent="0.2">
      <c r="B178" s="217"/>
      <c r="C178" s="194" t="s">
        <v>52</v>
      </c>
      <c r="D178" s="194"/>
      <c r="E178" s="194"/>
      <c r="F178" s="215" t="s">
        <v>239</v>
      </c>
      <c r="G178" s="194"/>
      <c r="H178" s="194" t="s">
        <v>309</v>
      </c>
      <c r="I178" s="194" t="s">
        <v>310</v>
      </c>
      <c r="J178" s="194">
        <v>1</v>
      </c>
      <c r="K178" s="238"/>
    </row>
    <row r="179" spans="2:11" customFormat="1" ht="15" customHeight="1" x14ac:dyDescent="0.2">
      <c r="B179" s="217"/>
      <c r="C179" s="194" t="s">
        <v>48</v>
      </c>
      <c r="D179" s="194"/>
      <c r="E179" s="194"/>
      <c r="F179" s="215" t="s">
        <v>239</v>
      </c>
      <c r="G179" s="194"/>
      <c r="H179" s="194" t="s">
        <v>311</v>
      </c>
      <c r="I179" s="194" t="s">
        <v>241</v>
      </c>
      <c r="J179" s="194">
        <v>20</v>
      </c>
      <c r="K179" s="238"/>
    </row>
    <row r="180" spans="2:11" customFormat="1" ht="15" customHeight="1" x14ac:dyDescent="0.2">
      <c r="B180" s="217"/>
      <c r="C180" s="194" t="s">
        <v>49</v>
      </c>
      <c r="D180" s="194"/>
      <c r="E180" s="194"/>
      <c r="F180" s="215" t="s">
        <v>239</v>
      </c>
      <c r="G180" s="194"/>
      <c r="H180" s="194" t="s">
        <v>312</v>
      </c>
      <c r="I180" s="194" t="s">
        <v>241</v>
      </c>
      <c r="J180" s="194">
        <v>255</v>
      </c>
      <c r="K180" s="238"/>
    </row>
    <row r="181" spans="2:11" customFormat="1" ht="15" customHeight="1" x14ac:dyDescent="0.2">
      <c r="B181" s="217"/>
      <c r="C181" s="194" t="s">
        <v>95</v>
      </c>
      <c r="D181" s="194"/>
      <c r="E181" s="194"/>
      <c r="F181" s="215" t="s">
        <v>239</v>
      </c>
      <c r="G181" s="194"/>
      <c r="H181" s="194" t="s">
        <v>203</v>
      </c>
      <c r="I181" s="194" t="s">
        <v>241</v>
      </c>
      <c r="J181" s="194">
        <v>10</v>
      </c>
      <c r="K181" s="238"/>
    </row>
    <row r="182" spans="2:11" customFormat="1" ht="15" customHeight="1" x14ac:dyDescent="0.2">
      <c r="B182" s="217"/>
      <c r="C182" s="194" t="s">
        <v>96</v>
      </c>
      <c r="D182" s="194"/>
      <c r="E182" s="194"/>
      <c r="F182" s="215" t="s">
        <v>239</v>
      </c>
      <c r="G182" s="194"/>
      <c r="H182" s="194" t="s">
        <v>313</v>
      </c>
      <c r="I182" s="194" t="s">
        <v>274</v>
      </c>
      <c r="J182" s="194"/>
      <c r="K182" s="238"/>
    </row>
    <row r="183" spans="2:11" customFormat="1" ht="15" customHeight="1" x14ac:dyDescent="0.2">
      <c r="B183" s="217"/>
      <c r="C183" s="194" t="s">
        <v>314</v>
      </c>
      <c r="D183" s="194"/>
      <c r="E183" s="194"/>
      <c r="F183" s="215" t="s">
        <v>239</v>
      </c>
      <c r="G183" s="194"/>
      <c r="H183" s="194" t="s">
        <v>315</v>
      </c>
      <c r="I183" s="194" t="s">
        <v>274</v>
      </c>
      <c r="J183" s="194"/>
      <c r="K183" s="238"/>
    </row>
    <row r="184" spans="2:11" customFormat="1" ht="15" customHeight="1" x14ac:dyDescent="0.2">
      <c r="B184" s="217"/>
      <c r="C184" s="194" t="s">
        <v>303</v>
      </c>
      <c r="D184" s="194"/>
      <c r="E184" s="194"/>
      <c r="F184" s="215" t="s">
        <v>239</v>
      </c>
      <c r="G184" s="194"/>
      <c r="H184" s="194" t="s">
        <v>316</v>
      </c>
      <c r="I184" s="194" t="s">
        <v>274</v>
      </c>
      <c r="J184" s="194"/>
      <c r="K184" s="238"/>
    </row>
    <row r="185" spans="2:11" customFormat="1" ht="15" customHeight="1" x14ac:dyDescent="0.2">
      <c r="B185" s="217"/>
      <c r="C185" s="194" t="s">
        <v>98</v>
      </c>
      <c r="D185" s="194"/>
      <c r="E185" s="194"/>
      <c r="F185" s="215" t="s">
        <v>245</v>
      </c>
      <c r="G185" s="194"/>
      <c r="H185" s="194" t="s">
        <v>317</v>
      </c>
      <c r="I185" s="194" t="s">
        <v>241</v>
      </c>
      <c r="J185" s="194">
        <v>50</v>
      </c>
      <c r="K185" s="238"/>
    </row>
    <row r="186" spans="2:11" customFormat="1" ht="15" customHeight="1" x14ac:dyDescent="0.2">
      <c r="B186" s="217"/>
      <c r="C186" s="194" t="s">
        <v>318</v>
      </c>
      <c r="D186" s="194"/>
      <c r="E186" s="194"/>
      <c r="F186" s="215" t="s">
        <v>245</v>
      </c>
      <c r="G186" s="194"/>
      <c r="H186" s="194" t="s">
        <v>319</v>
      </c>
      <c r="I186" s="194" t="s">
        <v>320</v>
      </c>
      <c r="J186" s="194"/>
      <c r="K186" s="238"/>
    </row>
    <row r="187" spans="2:11" customFormat="1" ht="15" customHeight="1" x14ac:dyDescent="0.2">
      <c r="B187" s="217"/>
      <c r="C187" s="194" t="s">
        <v>321</v>
      </c>
      <c r="D187" s="194"/>
      <c r="E187" s="194"/>
      <c r="F187" s="215" t="s">
        <v>245</v>
      </c>
      <c r="G187" s="194"/>
      <c r="H187" s="194" t="s">
        <v>322</v>
      </c>
      <c r="I187" s="194" t="s">
        <v>320</v>
      </c>
      <c r="J187" s="194"/>
      <c r="K187" s="238"/>
    </row>
    <row r="188" spans="2:11" customFormat="1" ht="15" customHeight="1" x14ac:dyDescent="0.2">
      <c r="B188" s="217"/>
      <c r="C188" s="194" t="s">
        <v>323</v>
      </c>
      <c r="D188" s="194"/>
      <c r="E188" s="194"/>
      <c r="F188" s="215" t="s">
        <v>245</v>
      </c>
      <c r="G188" s="194"/>
      <c r="H188" s="194" t="s">
        <v>324</v>
      </c>
      <c r="I188" s="194" t="s">
        <v>320</v>
      </c>
      <c r="J188" s="194"/>
      <c r="K188" s="238"/>
    </row>
    <row r="189" spans="2:11" customFormat="1" ht="15" customHeight="1" x14ac:dyDescent="0.2">
      <c r="B189" s="217"/>
      <c r="C189" s="251" t="s">
        <v>325</v>
      </c>
      <c r="D189" s="194"/>
      <c r="E189" s="194"/>
      <c r="F189" s="215" t="s">
        <v>245</v>
      </c>
      <c r="G189" s="194"/>
      <c r="H189" s="194" t="s">
        <v>326</v>
      </c>
      <c r="I189" s="194" t="s">
        <v>327</v>
      </c>
      <c r="J189" s="252" t="s">
        <v>328</v>
      </c>
      <c r="K189" s="238"/>
    </row>
    <row r="190" spans="2:11" customFormat="1" ht="15" customHeight="1" x14ac:dyDescent="0.2">
      <c r="B190" s="217"/>
      <c r="C190" s="251" t="s">
        <v>37</v>
      </c>
      <c r="D190" s="194"/>
      <c r="E190" s="194"/>
      <c r="F190" s="215" t="s">
        <v>239</v>
      </c>
      <c r="G190" s="194"/>
      <c r="H190" s="191" t="s">
        <v>329</v>
      </c>
      <c r="I190" s="194" t="s">
        <v>330</v>
      </c>
      <c r="J190" s="194"/>
      <c r="K190" s="238"/>
    </row>
    <row r="191" spans="2:11" customFormat="1" ht="15" customHeight="1" x14ac:dyDescent="0.2">
      <c r="B191" s="217"/>
      <c r="C191" s="251" t="s">
        <v>331</v>
      </c>
      <c r="D191" s="194"/>
      <c r="E191" s="194"/>
      <c r="F191" s="215" t="s">
        <v>239</v>
      </c>
      <c r="G191" s="194"/>
      <c r="H191" s="194" t="s">
        <v>332</v>
      </c>
      <c r="I191" s="194" t="s">
        <v>274</v>
      </c>
      <c r="J191" s="194"/>
      <c r="K191" s="238"/>
    </row>
    <row r="192" spans="2:11" customFormat="1" ht="15" customHeight="1" x14ac:dyDescent="0.2">
      <c r="B192" s="217"/>
      <c r="C192" s="251" t="s">
        <v>333</v>
      </c>
      <c r="D192" s="194"/>
      <c r="E192" s="194"/>
      <c r="F192" s="215" t="s">
        <v>239</v>
      </c>
      <c r="G192" s="194"/>
      <c r="H192" s="194" t="s">
        <v>334</v>
      </c>
      <c r="I192" s="194" t="s">
        <v>274</v>
      </c>
      <c r="J192" s="194"/>
      <c r="K192" s="238"/>
    </row>
    <row r="193" spans="2:11" customFormat="1" ht="15" customHeight="1" x14ac:dyDescent="0.2">
      <c r="B193" s="217"/>
      <c r="C193" s="251" t="s">
        <v>335</v>
      </c>
      <c r="D193" s="194"/>
      <c r="E193" s="194"/>
      <c r="F193" s="215" t="s">
        <v>245</v>
      </c>
      <c r="G193" s="194"/>
      <c r="H193" s="194" t="s">
        <v>336</v>
      </c>
      <c r="I193" s="194" t="s">
        <v>274</v>
      </c>
      <c r="J193" s="194"/>
      <c r="K193" s="238"/>
    </row>
    <row r="194" spans="2:11" customFormat="1" ht="15" customHeight="1" x14ac:dyDescent="0.2">
      <c r="B194" s="244"/>
      <c r="C194" s="253"/>
      <c r="D194" s="224"/>
      <c r="E194" s="224"/>
      <c r="F194" s="224"/>
      <c r="G194" s="224"/>
      <c r="H194" s="224"/>
      <c r="I194" s="224"/>
      <c r="J194" s="224"/>
      <c r="K194" s="245"/>
    </row>
    <row r="195" spans="2:11" customFormat="1" ht="18.75" customHeight="1" x14ac:dyDescent="0.2">
      <c r="B195" s="226"/>
      <c r="C195" s="236"/>
      <c r="D195" s="236"/>
      <c r="E195" s="236"/>
      <c r="F195" s="246"/>
      <c r="G195" s="236"/>
      <c r="H195" s="236"/>
      <c r="I195" s="236"/>
      <c r="J195" s="236"/>
      <c r="K195" s="226"/>
    </row>
    <row r="196" spans="2:11" customFormat="1" ht="18.75" customHeight="1" x14ac:dyDescent="0.2">
      <c r="B196" s="226"/>
      <c r="C196" s="236"/>
      <c r="D196" s="236"/>
      <c r="E196" s="236"/>
      <c r="F196" s="246"/>
      <c r="G196" s="236"/>
      <c r="H196" s="236"/>
      <c r="I196" s="236"/>
      <c r="J196" s="236"/>
      <c r="K196" s="226"/>
    </row>
    <row r="197" spans="2:11" customFormat="1" ht="18.75" customHeight="1" x14ac:dyDescent="0.2">
      <c r="B197" s="201"/>
      <c r="C197" s="201"/>
      <c r="D197" s="201"/>
      <c r="E197" s="201"/>
      <c r="F197" s="201"/>
      <c r="G197" s="201"/>
      <c r="H197" s="201"/>
      <c r="I197" s="201"/>
      <c r="J197" s="201"/>
      <c r="K197" s="201"/>
    </row>
    <row r="198" spans="2:11" customFormat="1" ht="13.5" x14ac:dyDescent="0.2">
      <c r="B198" s="183"/>
      <c r="C198" s="184"/>
      <c r="D198" s="184"/>
      <c r="E198" s="184"/>
      <c r="F198" s="184"/>
      <c r="G198" s="184"/>
      <c r="H198" s="184"/>
      <c r="I198" s="184"/>
      <c r="J198" s="184"/>
      <c r="K198" s="185"/>
    </row>
    <row r="199" spans="2:11" customFormat="1" ht="21" x14ac:dyDescent="0.2">
      <c r="B199" s="186"/>
      <c r="C199" s="329" t="s">
        <v>337</v>
      </c>
      <c r="D199" s="329"/>
      <c r="E199" s="329"/>
      <c r="F199" s="329"/>
      <c r="G199" s="329"/>
      <c r="H199" s="329"/>
      <c r="I199" s="329"/>
      <c r="J199" s="329"/>
      <c r="K199" s="187"/>
    </row>
    <row r="200" spans="2:11" customFormat="1" ht="25.5" customHeight="1" x14ac:dyDescent="0.3">
      <c r="B200" s="186"/>
      <c r="C200" s="254" t="s">
        <v>338</v>
      </c>
      <c r="D200" s="254"/>
      <c r="E200" s="254"/>
      <c r="F200" s="254" t="s">
        <v>339</v>
      </c>
      <c r="G200" s="255"/>
      <c r="H200" s="335" t="s">
        <v>340</v>
      </c>
      <c r="I200" s="335"/>
      <c r="J200" s="335"/>
      <c r="K200" s="187"/>
    </row>
    <row r="201" spans="2:11" customFormat="1" ht="5.25" customHeight="1" x14ac:dyDescent="0.2">
      <c r="B201" s="217"/>
      <c r="C201" s="212"/>
      <c r="D201" s="212"/>
      <c r="E201" s="212"/>
      <c r="F201" s="212"/>
      <c r="G201" s="236"/>
      <c r="H201" s="212"/>
      <c r="I201" s="212"/>
      <c r="J201" s="212"/>
      <c r="K201" s="238"/>
    </row>
    <row r="202" spans="2:11" customFormat="1" ht="15" customHeight="1" x14ac:dyDescent="0.2">
      <c r="B202" s="217"/>
      <c r="C202" s="194" t="s">
        <v>330</v>
      </c>
      <c r="D202" s="194"/>
      <c r="E202" s="194"/>
      <c r="F202" s="215" t="s">
        <v>38</v>
      </c>
      <c r="G202" s="194"/>
      <c r="H202" s="334" t="s">
        <v>341</v>
      </c>
      <c r="I202" s="334"/>
      <c r="J202" s="334"/>
      <c r="K202" s="238"/>
    </row>
    <row r="203" spans="2:11" customFormat="1" ht="15" customHeight="1" x14ac:dyDescent="0.2">
      <c r="B203" s="217"/>
      <c r="C203" s="194"/>
      <c r="D203" s="194"/>
      <c r="E203" s="194"/>
      <c r="F203" s="215" t="s">
        <v>39</v>
      </c>
      <c r="G203" s="194"/>
      <c r="H203" s="334" t="s">
        <v>342</v>
      </c>
      <c r="I203" s="334"/>
      <c r="J203" s="334"/>
      <c r="K203" s="238"/>
    </row>
    <row r="204" spans="2:11" customFormat="1" ht="15" customHeight="1" x14ac:dyDescent="0.2">
      <c r="B204" s="217"/>
      <c r="C204" s="194"/>
      <c r="D204" s="194"/>
      <c r="E204" s="194"/>
      <c r="F204" s="215" t="s">
        <v>42</v>
      </c>
      <c r="G204" s="194"/>
      <c r="H204" s="334" t="s">
        <v>343</v>
      </c>
      <c r="I204" s="334"/>
      <c r="J204" s="334"/>
      <c r="K204" s="238"/>
    </row>
    <row r="205" spans="2:11" customFormat="1" ht="15" customHeight="1" x14ac:dyDescent="0.2">
      <c r="B205" s="217"/>
      <c r="C205" s="194"/>
      <c r="D205" s="194"/>
      <c r="E205" s="194"/>
      <c r="F205" s="215" t="s">
        <v>40</v>
      </c>
      <c r="G205" s="194"/>
      <c r="H205" s="334" t="s">
        <v>344</v>
      </c>
      <c r="I205" s="334"/>
      <c r="J205" s="334"/>
      <c r="K205" s="238"/>
    </row>
    <row r="206" spans="2:11" customFormat="1" ht="15" customHeight="1" x14ac:dyDescent="0.2">
      <c r="B206" s="217"/>
      <c r="C206" s="194"/>
      <c r="D206" s="194"/>
      <c r="E206" s="194"/>
      <c r="F206" s="215" t="s">
        <v>41</v>
      </c>
      <c r="G206" s="194"/>
      <c r="H206" s="334" t="s">
        <v>345</v>
      </c>
      <c r="I206" s="334"/>
      <c r="J206" s="334"/>
      <c r="K206" s="238"/>
    </row>
    <row r="207" spans="2:11" customFormat="1" ht="15" customHeight="1" x14ac:dyDescent="0.2">
      <c r="B207" s="217"/>
      <c r="C207" s="194"/>
      <c r="D207" s="194"/>
      <c r="E207" s="194"/>
      <c r="F207" s="215"/>
      <c r="G207" s="194"/>
      <c r="H207" s="194"/>
      <c r="I207" s="194"/>
      <c r="J207" s="194"/>
      <c r="K207" s="238"/>
    </row>
    <row r="208" spans="2:11" customFormat="1" ht="15" customHeight="1" x14ac:dyDescent="0.2">
      <c r="B208" s="217"/>
      <c r="C208" s="194" t="s">
        <v>286</v>
      </c>
      <c r="D208" s="194"/>
      <c r="E208" s="194"/>
      <c r="F208" s="215" t="s">
        <v>74</v>
      </c>
      <c r="G208" s="194"/>
      <c r="H208" s="334" t="s">
        <v>346</v>
      </c>
      <c r="I208" s="334"/>
      <c r="J208" s="334"/>
      <c r="K208" s="238"/>
    </row>
    <row r="209" spans="2:11" customFormat="1" ht="15" customHeight="1" x14ac:dyDescent="0.2">
      <c r="B209" s="217"/>
      <c r="C209" s="194"/>
      <c r="D209" s="194"/>
      <c r="E209" s="194"/>
      <c r="F209" s="215" t="s">
        <v>181</v>
      </c>
      <c r="G209" s="194"/>
      <c r="H209" s="334" t="s">
        <v>182</v>
      </c>
      <c r="I209" s="334"/>
      <c r="J209" s="334"/>
      <c r="K209" s="238"/>
    </row>
    <row r="210" spans="2:11" customFormat="1" ht="15" customHeight="1" x14ac:dyDescent="0.2">
      <c r="B210" s="217"/>
      <c r="C210" s="194"/>
      <c r="D210" s="194"/>
      <c r="E210" s="194"/>
      <c r="F210" s="215" t="s">
        <v>179</v>
      </c>
      <c r="G210" s="194"/>
      <c r="H210" s="334" t="s">
        <v>347</v>
      </c>
      <c r="I210" s="334"/>
      <c r="J210" s="334"/>
      <c r="K210" s="238"/>
    </row>
    <row r="211" spans="2:11" customFormat="1" ht="15" customHeight="1" x14ac:dyDescent="0.2">
      <c r="B211" s="256"/>
      <c r="C211" s="194"/>
      <c r="D211" s="194"/>
      <c r="E211" s="194"/>
      <c r="F211" s="215" t="s">
        <v>183</v>
      </c>
      <c r="G211" s="251"/>
      <c r="H211" s="333" t="s">
        <v>184</v>
      </c>
      <c r="I211" s="333"/>
      <c r="J211" s="333"/>
      <c r="K211" s="257"/>
    </row>
    <row r="212" spans="2:11" customFormat="1" ht="15" customHeight="1" x14ac:dyDescent="0.2">
      <c r="B212" s="256"/>
      <c r="C212" s="194"/>
      <c r="D212" s="194"/>
      <c r="E212" s="194"/>
      <c r="F212" s="215" t="s">
        <v>185</v>
      </c>
      <c r="G212" s="251"/>
      <c r="H212" s="333" t="s">
        <v>149</v>
      </c>
      <c r="I212" s="333"/>
      <c r="J212" s="333"/>
      <c r="K212" s="257"/>
    </row>
    <row r="213" spans="2:11" customFormat="1" ht="15" customHeight="1" x14ac:dyDescent="0.2">
      <c r="B213" s="256"/>
      <c r="C213" s="194"/>
      <c r="D213" s="194"/>
      <c r="E213" s="194"/>
      <c r="F213" s="215"/>
      <c r="G213" s="251"/>
      <c r="H213" s="242"/>
      <c r="I213" s="242"/>
      <c r="J213" s="242"/>
      <c r="K213" s="257"/>
    </row>
    <row r="214" spans="2:11" customFormat="1" ht="15" customHeight="1" x14ac:dyDescent="0.2">
      <c r="B214" s="256"/>
      <c r="C214" s="194" t="s">
        <v>310</v>
      </c>
      <c r="D214" s="194"/>
      <c r="E214" s="194"/>
      <c r="F214" s="215">
        <v>1</v>
      </c>
      <c r="G214" s="251"/>
      <c r="H214" s="333" t="s">
        <v>348</v>
      </c>
      <c r="I214" s="333"/>
      <c r="J214" s="333"/>
      <c r="K214" s="257"/>
    </row>
    <row r="215" spans="2:11" customFormat="1" ht="15" customHeight="1" x14ac:dyDescent="0.2">
      <c r="B215" s="256"/>
      <c r="C215" s="194"/>
      <c r="D215" s="194"/>
      <c r="E215" s="194"/>
      <c r="F215" s="215">
        <v>2</v>
      </c>
      <c r="G215" s="251"/>
      <c r="H215" s="333" t="s">
        <v>349</v>
      </c>
      <c r="I215" s="333"/>
      <c r="J215" s="333"/>
      <c r="K215" s="257"/>
    </row>
    <row r="216" spans="2:11" customFormat="1" ht="15" customHeight="1" x14ac:dyDescent="0.2">
      <c r="B216" s="256"/>
      <c r="C216" s="194"/>
      <c r="D216" s="194"/>
      <c r="E216" s="194"/>
      <c r="F216" s="215">
        <v>3</v>
      </c>
      <c r="G216" s="251"/>
      <c r="H216" s="333" t="s">
        <v>350</v>
      </c>
      <c r="I216" s="333"/>
      <c r="J216" s="333"/>
      <c r="K216" s="257"/>
    </row>
    <row r="217" spans="2:11" customFormat="1" ht="15" customHeight="1" x14ac:dyDescent="0.2">
      <c r="B217" s="256"/>
      <c r="C217" s="194"/>
      <c r="D217" s="194"/>
      <c r="E217" s="194"/>
      <c r="F217" s="215">
        <v>4</v>
      </c>
      <c r="G217" s="251"/>
      <c r="H217" s="333" t="s">
        <v>351</v>
      </c>
      <c r="I217" s="333"/>
      <c r="J217" s="333"/>
      <c r="K217" s="257"/>
    </row>
    <row r="218" spans="2:11" customFormat="1" ht="12.75" customHeight="1" x14ac:dyDescent="0.2">
      <c r="B218" s="258"/>
      <c r="C218" s="259"/>
      <c r="D218" s="259"/>
      <c r="E218" s="259"/>
      <c r="F218" s="259"/>
      <c r="G218" s="259"/>
      <c r="H218" s="259"/>
      <c r="I218" s="259"/>
      <c r="J218" s="259"/>
      <c r="K218" s="260"/>
    </row>
  </sheetData>
  <sheetProtection formatCells="0" formatColumns="0" formatRows="0" insertColumns="0" insertRows="0" insertHyperlinks="0" deleteColumns="0" deleteRows="0" sort="0" autoFilter="0" pivotTables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01 - Stavební část</vt:lpstr>
      <vt:lpstr>02 - VRN</vt:lpstr>
      <vt:lpstr>Pokyny pro vyplnění</vt:lpstr>
      <vt:lpstr>'01 - Stavební část'!Názvy_tisku</vt:lpstr>
      <vt:lpstr>'02 - VRN'!Názvy_tisku</vt:lpstr>
      <vt:lpstr>'Rekapitulace stavby'!Názvy_tisku</vt:lpstr>
      <vt:lpstr>'01 - Stavební část'!Oblast_tisku</vt:lpstr>
      <vt:lpstr>'02 - VRN'!Oblast_tisku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LAPTOP-4PHCBA17\uživatel</dc:creator>
  <cp:lastModifiedBy>Jakub Stašek</cp:lastModifiedBy>
  <cp:lastPrinted>2023-07-28T12:21:41Z</cp:lastPrinted>
  <dcterms:created xsi:type="dcterms:W3CDTF">2023-07-21T06:44:18Z</dcterms:created>
  <dcterms:modified xsi:type="dcterms:W3CDTF">2024-09-02T10:29:21Z</dcterms:modified>
</cp:coreProperties>
</file>